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NARAMÍREZ\Downloads\DOCUMENTOS LEGALES\"/>
    </mc:Choice>
  </mc:AlternateContent>
  <bookViews>
    <workbookView xWindow="0" yWindow="3300" windowWidth="15600" windowHeight="1170"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Datos'!$A$6:$AZ$691</definedName>
    <definedName name="_xlnm._FilterDatabase" localSheetId="9" hidden="1">Hoja2!$B$2:$AY$261</definedName>
    <definedName name="_xlnm._FilterDatabase" localSheetId="18" hidden="1">'liquidaciones '!$A$1:$I$546</definedName>
    <definedName name="_xlnm._FilterDatabase" localSheetId="7" hidden="1">Modificaciones!$A$6:$AW$726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3" r:id="rId29"/>
    <pivotCache cacheId="16" r:id="rId30"/>
    <pivotCache cacheId="19" r:id="rId31"/>
    <pivotCache cacheId="22"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O715" i="2" l="1"/>
  <c r="AN715" i="2"/>
  <c r="R715" i="2"/>
  <c r="Q715" i="2"/>
  <c r="O715" i="2"/>
  <c r="AO714" i="2"/>
  <c r="AN714" i="2"/>
  <c r="R714" i="2"/>
  <c r="Q714" i="2"/>
  <c r="O714" i="2"/>
  <c r="AO713" i="2"/>
  <c r="AN713" i="2"/>
  <c r="R713" i="2"/>
  <c r="Q713" i="2"/>
  <c r="O713" i="2"/>
  <c r="AO712" i="2"/>
  <c r="AN712" i="2"/>
  <c r="R712" i="2"/>
  <c r="Q712" i="2"/>
  <c r="O712" i="2"/>
  <c r="AO711" i="2"/>
  <c r="AN711" i="2"/>
  <c r="R711" i="2"/>
  <c r="Q711" i="2"/>
  <c r="O711" i="2"/>
  <c r="AO710" i="2"/>
  <c r="AN710" i="2"/>
  <c r="R710" i="2"/>
  <c r="Q710" i="2"/>
  <c r="O710" i="2"/>
  <c r="AO709" i="2"/>
  <c r="AN709" i="2"/>
  <c r="R709" i="2"/>
  <c r="Q709" i="2"/>
  <c r="O709" i="2"/>
  <c r="AO708" i="2"/>
  <c r="AN708" i="2"/>
  <c r="R708" i="2"/>
  <c r="Q708" i="2"/>
  <c r="O708" i="2"/>
  <c r="AO707" i="2"/>
  <c r="AN707" i="2"/>
  <c r="R707" i="2"/>
  <c r="Q707" i="2"/>
  <c r="O707" i="2"/>
  <c r="AO706" i="2"/>
  <c r="AN706" i="2"/>
  <c r="R706" i="2"/>
  <c r="Q706" i="2"/>
  <c r="O706" i="2"/>
  <c r="AO705" i="2"/>
  <c r="AN705" i="2"/>
  <c r="R705" i="2"/>
  <c r="Q705" i="2"/>
  <c r="O705" i="2"/>
  <c r="AO704" i="2"/>
  <c r="AN704" i="2"/>
  <c r="R704" i="2"/>
  <c r="Q704" i="2"/>
  <c r="O704" i="2"/>
  <c r="AO703" i="2"/>
  <c r="AN703" i="2"/>
  <c r="R703" i="2"/>
  <c r="Q703" i="2"/>
  <c r="O703" i="2"/>
  <c r="AO702" i="2"/>
  <c r="AN702" i="2"/>
  <c r="R702" i="2"/>
  <c r="Q702" i="2"/>
  <c r="O702" i="2"/>
  <c r="AO701" i="2"/>
  <c r="AN701" i="2"/>
  <c r="R701" i="2"/>
  <c r="Q701" i="2"/>
  <c r="O701" i="2"/>
  <c r="AO700" i="2"/>
  <c r="AN700" i="2"/>
  <c r="R700" i="2"/>
  <c r="Q700" i="2"/>
  <c r="O700" i="2"/>
  <c r="AO699" i="2"/>
  <c r="AN699" i="2"/>
  <c r="R699" i="2"/>
  <c r="Q699" i="2"/>
  <c r="O699" i="2"/>
  <c r="AO698" i="2"/>
  <c r="AN698" i="2"/>
  <c r="R698" i="2"/>
  <c r="Q698" i="2"/>
  <c r="O698" i="2"/>
  <c r="AO697" i="2"/>
  <c r="AN697" i="2"/>
  <c r="R697" i="2"/>
  <c r="Q697" i="2"/>
  <c r="O697" i="2"/>
  <c r="AO696" i="2"/>
  <c r="AN696" i="2"/>
  <c r="R696" i="2"/>
  <c r="Q696" i="2"/>
  <c r="O696" i="2"/>
  <c r="AO695" i="2"/>
  <c r="AN695" i="2"/>
  <c r="R695" i="2"/>
  <c r="Q695" i="2"/>
  <c r="O695" i="2"/>
  <c r="AO694" i="2"/>
  <c r="AN694" i="2"/>
  <c r="R694" i="2"/>
  <c r="Q694" i="2"/>
  <c r="O694" i="2"/>
  <c r="AO693" i="2"/>
  <c r="AN693" i="2"/>
  <c r="R693" i="2"/>
  <c r="Q693" i="2"/>
  <c r="O693" i="2"/>
  <c r="AO692" i="2"/>
  <c r="AN692" i="2"/>
  <c r="R692" i="2"/>
  <c r="Q692" i="2"/>
  <c r="O692" i="2"/>
  <c r="C555" i="17" l="1"/>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S692" i="2" s="1"/>
  <c r="T692" i="2" s="1"/>
  <c r="AU692" i="17"/>
  <c r="B693" i="17"/>
  <c r="C693" i="17"/>
  <c r="D693" i="17"/>
  <c r="E693" i="17"/>
  <c r="F693" i="17"/>
  <c r="G693" i="17"/>
  <c r="H693" i="17"/>
  <c r="Q693" i="17"/>
  <c r="AA693" i="17"/>
  <c r="S693" i="2" s="1"/>
  <c r="T693" i="2" s="1"/>
  <c r="AU693" i="17"/>
  <c r="B694" i="17"/>
  <c r="C694" i="17"/>
  <c r="D694" i="17"/>
  <c r="E694" i="17"/>
  <c r="F694" i="17"/>
  <c r="G694" i="17"/>
  <c r="H694" i="17"/>
  <c r="Q694" i="17"/>
  <c r="AA694" i="17"/>
  <c r="S694" i="2" s="1"/>
  <c r="T694" i="2" s="1"/>
  <c r="AU694" i="17"/>
  <c r="B695" i="17"/>
  <c r="C695" i="17"/>
  <c r="D695" i="17"/>
  <c r="E695" i="17"/>
  <c r="F695" i="17"/>
  <c r="G695" i="17"/>
  <c r="H695" i="17"/>
  <c r="Q695" i="17"/>
  <c r="AA695" i="17"/>
  <c r="S695" i="2" s="1"/>
  <c r="T695" i="2" s="1"/>
  <c r="AU695" i="17"/>
  <c r="B696" i="17"/>
  <c r="C696" i="17"/>
  <c r="D696" i="17"/>
  <c r="E696" i="17"/>
  <c r="F696" i="17"/>
  <c r="G696" i="17"/>
  <c r="H696" i="17"/>
  <c r="Q696" i="17"/>
  <c r="AA696" i="17"/>
  <c r="S696" i="2" s="1"/>
  <c r="T696" i="2" s="1"/>
  <c r="AU696" i="17"/>
  <c r="B697" i="17"/>
  <c r="C697" i="17"/>
  <c r="D697" i="17"/>
  <c r="E697" i="17"/>
  <c r="F697" i="17"/>
  <c r="G697" i="17"/>
  <c r="H697" i="17"/>
  <c r="Q697" i="17"/>
  <c r="AA697" i="17"/>
  <c r="S697" i="2" s="1"/>
  <c r="T697" i="2" s="1"/>
  <c r="AU697" i="17"/>
  <c r="B698" i="17"/>
  <c r="C698" i="17"/>
  <c r="D698" i="17"/>
  <c r="E698" i="17"/>
  <c r="F698" i="17"/>
  <c r="G698" i="17"/>
  <c r="H698" i="17"/>
  <c r="Q698" i="17"/>
  <c r="AA698" i="17"/>
  <c r="S698" i="2" s="1"/>
  <c r="T698" i="2" s="1"/>
  <c r="AU698" i="17"/>
  <c r="B699" i="17"/>
  <c r="C699" i="17"/>
  <c r="D699" i="17"/>
  <c r="E699" i="17"/>
  <c r="F699" i="17"/>
  <c r="G699" i="17"/>
  <c r="H699" i="17"/>
  <c r="Q699" i="17"/>
  <c r="AA699" i="17"/>
  <c r="S699" i="2" s="1"/>
  <c r="T699" i="2" s="1"/>
  <c r="AU699" i="17"/>
  <c r="B700" i="17"/>
  <c r="C700" i="17"/>
  <c r="D700" i="17"/>
  <c r="E700" i="17"/>
  <c r="F700" i="17"/>
  <c r="G700" i="17"/>
  <c r="H700" i="17"/>
  <c r="Q700" i="17"/>
  <c r="AA700" i="17"/>
  <c r="S700" i="2" s="1"/>
  <c r="T700" i="2" s="1"/>
  <c r="AU700" i="17"/>
  <c r="B701" i="17"/>
  <c r="C701" i="17"/>
  <c r="D701" i="17"/>
  <c r="E701" i="17"/>
  <c r="F701" i="17"/>
  <c r="G701" i="17"/>
  <c r="H701" i="17"/>
  <c r="Q701" i="17"/>
  <c r="AA701" i="17"/>
  <c r="S701" i="2" s="1"/>
  <c r="T701" i="2" s="1"/>
  <c r="AU701" i="17"/>
  <c r="B702" i="17"/>
  <c r="C702" i="17"/>
  <c r="D702" i="17"/>
  <c r="E702" i="17"/>
  <c r="F702" i="17"/>
  <c r="G702" i="17"/>
  <c r="H702" i="17"/>
  <c r="Q702" i="17"/>
  <c r="AA702" i="17"/>
  <c r="S702" i="2" s="1"/>
  <c r="T702" i="2" s="1"/>
  <c r="AU702" i="17"/>
  <c r="B703" i="17"/>
  <c r="C703" i="17"/>
  <c r="D703" i="17"/>
  <c r="E703" i="17"/>
  <c r="F703" i="17"/>
  <c r="G703" i="17"/>
  <c r="H703" i="17"/>
  <c r="Q703" i="17"/>
  <c r="AA703" i="17"/>
  <c r="S703" i="2" s="1"/>
  <c r="T703" i="2" s="1"/>
  <c r="AU703" i="17"/>
  <c r="B704" i="17"/>
  <c r="C704" i="17"/>
  <c r="D704" i="17"/>
  <c r="E704" i="17"/>
  <c r="F704" i="17"/>
  <c r="G704" i="17"/>
  <c r="H704" i="17"/>
  <c r="Q704" i="17"/>
  <c r="AA704" i="17"/>
  <c r="S704" i="2" s="1"/>
  <c r="T704" i="2" s="1"/>
  <c r="AU704" i="17"/>
  <c r="B705" i="17"/>
  <c r="C705" i="17"/>
  <c r="D705" i="17"/>
  <c r="E705" i="17"/>
  <c r="F705" i="17"/>
  <c r="G705" i="17"/>
  <c r="H705" i="17"/>
  <c r="Q705" i="17"/>
  <c r="AA705" i="17"/>
  <c r="S705" i="2" s="1"/>
  <c r="T705" i="2" s="1"/>
  <c r="AU705" i="17"/>
  <c r="B706" i="17"/>
  <c r="C706" i="17"/>
  <c r="D706" i="17"/>
  <c r="E706" i="17"/>
  <c r="F706" i="17"/>
  <c r="G706" i="17"/>
  <c r="H706" i="17"/>
  <c r="Q706" i="17"/>
  <c r="AA706" i="17"/>
  <c r="S706" i="2" s="1"/>
  <c r="T706" i="2" s="1"/>
  <c r="AU706" i="17"/>
  <c r="B707" i="17"/>
  <c r="C707" i="17"/>
  <c r="D707" i="17"/>
  <c r="E707" i="17"/>
  <c r="F707" i="17"/>
  <c r="G707" i="17"/>
  <c r="H707" i="17"/>
  <c r="Q707" i="17"/>
  <c r="AA707" i="17"/>
  <c r="S707" i="2" s="1"/>
  <c r="T707" i="2" s="1"/>
  <c r="AU707" i="17"/>
  <c r="B708" i="17"/>
  <c r="C708" i="17"/>
  <c r="D708" i="17"/>
  <c r="E708" i="17"/>
  <c r="F708" i="17"/>
  <c r="G708" i="17"/>
  <c r="H708" i="17"/>
  <c r="Q708" i="17"/>
  <c r="AA708" i="17"/>
  <c r="S708" i="2" s="1"/>
  <c r="T708" i="2" s="1"/>
  <c r="AU708" i="17"/>
  <c r="B709" i="17"/>
  <c r="C709" i="17"/>
  <c r="D709" i="17"/>
  <c r="E709" i="17"/>
  <c r="F709" i="17"/>
  <c r="G709" i="17"/>
  <c r="H709" i="17"/>
  <c r="Q709" i="17"/>
  <c r="AA709" i="17"/>
  <c r="S709" i="2" s="1"/>
  <c r="T709" i="2" s="1"/>
  <c r="AU709" i="17"/>
  <c r="B710" i="17"/>
  <c r="C710" i="17"/>
  <c r="D710" i="17"/>
  <c r="E710" i="17"/>
  <c r="F710" i="17"/>
  <c r="G710" i="17"/>
  <c r="H710" i="17"/>
  <c r="Q710" i="17"/>
  <c r="AA710" i="17"/>
  <c r="S710" i="2" s="1"/>
  <c r="T710" i="2" s="1"/>
  <c r="AU710" i="17"/>
  <c r="B711" i="17"/>
  <c r="C711" i="17"/>
  <c r="D711" i="17"/>
  <c r="E711" i="17"/>
  <c r="F711" i="17"/>
  <c r="G711" i="17"/>
  <c r="H711" i="17"/>
  <c r="Q711" i="17"/>
  <c r="AA711" i="17"/>
  <c r="S711" i="2" s="1"/>
  <c r="T711" i="2" s="1"/>
  <c r="AU711" i="17"/>
  <c r="B712" i="17"/>
  <c r="C712" i="17"/>
  <c r="D712" i="17"/>
  <c r="E712" i="17"/>
  <c r="F712" i="17"/>
  <c r="G712" i="17"/>
  <c r="H712" i="17"/>
  <c r="Q712" i="17"/>
  <c r="AA712" i="17"/>
  <c r="S712" i="2" s="1"/>
  <c r="T712" i="2" s="1"/>
  <c r="AU712" i="17"/>
  <c r="B713" i="17"/>
  <c r="C713" i="17"/>
  <c r="D713" i="17"/>
  <c r="E713" i="17"/>
  <c r="F713" i="17"/>
  <c r="G713" i="17"/>
  <c r="H713" i="17"/>
  <c r="Q713" i="17"/>
  <c r="AA713" i="17"/>
  <c r="S713" i="2" s="1"/>
  <c r="T713" i="2" s="1"/>
  <c r="AU713" i="17"/>
  <c r="B714" i="17"/>
  <c r="C714" i="17"/>
  <c r="D714" i="17"/>
  <c r="E714" i="17"/>
  <c r="F714" i="17"/>
  <c r="G714" i="17"/>
  <c r="H714" i="17"/>
  <c r="Q714" i="17"/>
  <c r="AA714" i="17"/>
  <c r="S714" i="2" s="1"/>
  <c r="T714" i="2" s="1"/>
  <c r="AU714" i="17"/>
  <c r="B715" i="17"/>
  <c r="C715" i="17"/>
  <c r="D715" i="17"/>
  <c r="E715" i="17"/>
  <c r="F715" i="17"/>
  <c r="G715" i="17"/>
  <c r="H715" i="17"/>
  <c r="Q715" i="17"/>
  <c r="AA715" i="17"/>
  <c r="S715" i="2" s="1"/>
  <c r="T715" i="2" s="1"/>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AD271" i="2" l="1"/>
  <c r="AO691" i="2" l="1"/>
  <c r="AN691" i="2"/>
  <c r="S691" i="2"/>
  <c r="T691" i="2" s="1"/>
  <c r="R691" i="2"/>
  <c r="Q691" i="2"/>
  <c r="O691" i="2"/>
  <c r="AO690" i="2"/>
  <c r="AN690" i="2"/>
  <c r="S690" i="2"/>
  <c r="T690" i="2" s="1"/>
  <c r="R690" i="2"/>
  <c r="Q690" i="2"/>
  <c r="O690" i="2"/>
  <c r="AO689" i="2"/>
  <c r="AN689" i="2"/>
  <c r="S689" i="2"/>
  <c r="T689" i="2" s="1"/>
  <c r="R689" i="2"/>
  <c r="Q689" i="2"/>
  <c r="O689" i="2"/>
  <c r="AO688" i="2"/>
  <c r="AN688" i="2"/>
  <c r="S688" i="2"/>
  <c r="T688" i="2" s="1"/>
  <c r="R688" i="2"/>
  <c r="Q688" i="2"/>
  <c r="O688" i="2"/>
  <c r="AO687" i="2"/>
  <c r="AN687" i="2"/>
  <c r="S687" i="2"/>
  <c r="T687" i="2" s="1"/>
  <c r="R687" i="2"/>
  <c r="Q687" i="2"/>
  <c r="O687" i="2"/>
  <c r="AO686" i="2"/>
  <c r="AN686" i="2"/>
  <c r="S686" i="2"/>
  <c r="T686" i="2" s="1"/>
  <c r="R686" i="2"/>
  <c r="Q686" i="2"/>
  <c r="O686" i="2"/>
  <c r="AO685" i="2"/>
  <c r="AN685" i="2"/>
  <c r="S685" i="2"/>
  <c r="T685" i="2" s="1"/>
  <c r="R685" i="2"/>
  <c r="Q685" i="2"/>
  <c r="O685" i="2"/>
  <c r="AO684" i="2"/>
  <c r="AN684" i="2"/>
  <c r="S684" i="2"/>
  <c r="T684" i="2" s="1"/>
  <c r="R684" i="2"/>
  <c r="Q684" i="2"/>
  <c r="O684" i="2"/>
  <c r="AO683" i="2"/>
  <c r="AN683" i="2"/>
  <c r="S683" i="2"/>
  <c r="T683" i="2" s="1"/>
  <c r="R683" i="2"/>
  <c r="Q683" i="2"/>
  <c r="O683" i="2"/>
  <c r="AO682" i="2"/>
  <c r="AN682" i="2"/>
  <c r="S682" i="2"/>
  <c r="T682" i="2" s="1"/>
  <c r="R682" i="2"/>
  <c r="Q682" i="2"/>
  <c r="O682" i="2"/>
  <c r="AO681" i="2"/>
  <c r="AN681" i="2"/>
  <c r="S681" i="2"/>
  <c r="T681" i="2" s="1"/>
  <c r="R681" i="2"/>
  <c r="Q681" i="2"/>
  <c r="O681" i="2"/>
  <c r="AO680" i="2"/>
  <c r="AN680" i="2"/>
  <c r="S680" i="2"/>
  <c r="T680" i="2" s="1"/>
  <c r="R680" i="2"/>
  <c r="Q680" i="2"/>
  <c r="O680" i="2"/>
  <c r="AO679" i="2"/>
  <c r="AN679" i="2"/>
  <c r="S679" i="2"/>
  <c r="T679" i="2" s="1"/>
  <c r="R679" i="2"/>
  <c r="Q679" i="2"/>
  <c r="O679" i="2"/>
  <c r="AO678" i="2"/>
  <c r="AN678" i="2"/>
  <c r="S678" i="2"/>
  <c r="T678" i="2" s="1"/>
  <c r="R678" i="2"/>
  <c r="Q678" i="2"/>
  <c r="O678" i="2"/>
  <c r="AO677" i="2"/>
  <c r="AN677" i="2"/>
  <c r="S677" i="2"/>
  <c r="T677" i="2" s="1"/>
  <c r="R677" i="2"/>
  <c r="Q677" i="2"/>
  <c r="O677" i="2"/>
  <c r="AO676" i="2"/>
  <c r="AN676" i="2"/>
  <c r="R676" i="2"/>
  <c r="Q676" i="2"/>
  <c r="O676" i="2"/>
  <c r="AU617" i="17" l="1"/>
  <c r="R540" i="2" l="1"/>
  <c r="R534" i="2"/>
  <c r="AO675" i="2" l="1"/>
  <c r="AN675" i="2"/>
  <c r="R675" i="2"/>
  <c r="Q675" i="2"/>
  <c r="O675" i="2"/>
  <c r="AO674" i="2"/>
  <c r="AN674" i="2"/>
  <c r="R674" i="2"/>
  <c r="Q674" i="2"/>
  <c r="O674" i="2"/>
  <c r="AO673" i="2"/>
  <c r="AN673" i="2"/>
  <c r="R673" i="2"/>
  <c r="Q673" i="2"/>
  <c r="O673" i="2"/>
  <c r="AO672" i="2"/>
  <c r="AN672" i="2"/>
  <c r="R672" i="2"/>
  <c r="Q672" i="2"/>
  <c r="O672" i="2"/>
  <c r="AO671" i="2"/>
  <c r="AN671" i="2"/>
  <c r="R671" i="2"/>
  <c r="Q671" i="2"/>
  <c r="O671" i="2"/>
  <c r="AO670" i="2"/>
  <c r="AN670" i="2"/>
  <c r="R670" i="2"/>
  <c r="Q670" i="2"/>
  <c r="O670" i="2"/>
  <c r="AO669" i="2"/>
  <c r="AN669" i="2"/>
  <c r="R669" i="2"/>
  <c r="Q669" i="2"/>
  <c r="O669" i="2"/>
  <c r="AO668" i="2"/>
  <c r="AN668" i="2"/>
  <c r="R668" i="2"/>
  <c r="Q668" i="2"/>
  <c r="O668" i="2"/>
  <c r="AO667" i="2"/>
  <c r="AN667" i="2"/>
  <c r="R667" i="2"/>
  <c r="Q667" i="2"/>
  <c r="O667" i="2"/>
  <c r="AO666" i="2"/>
  <c r="AN666" i="2"/>
  <c r="R666" i="2"/>
  <c r="Q666" i="2"/>
  <c r="O666" i="2"/>
  <c r="AO665" i="2"/>
  <c r="AN665" i="2"/>
  <c r="R665" i="2"/>
  <c r="Q665" i="2"/>
  <c r="O665" i="2"/>
  <c r="AO664" i="2"/>
  <c r="AN664" i="2"/>
  <c r="Q664" i="2"/>
  <c r="O664" i="2"/>
  <c r="AO663" i="2"/>
  <c r="AN663" i="2"/>
  <c r="R663" i="2"/>
  <c r="Q663" i="2"/>
  <c r="O663" i="2"/>
  <c r="AO662" i="2"/>
  <c r="AN662" i="2"/>
  <c r="R662" i="2"/>
  <c r="Q662" i="2"/>
  <c r="O662" i="2"/>
  <c r="AO661" i="2"/>
  <c r="AN661" i="2"/>
  <c r="R661" i="2"/>
  <c r="Q661" i="2"/>
  <c r="O661" i="2"/>
  <c r="AO660" i="2"/>
  <c r="AN660" i="2"/>
  <c r="R660" i="2"/>
  <c r="Q660" i="2"/>
  <c r="O660" i="2"/>
  <c r="AO659" i="2"/>
  <c r="AN659" i="2"/>
  <c r="R659" i="2"/>
  <c r="Q659" i="2"/>
  <c r="O659" i="2"/>
  <c r="AO658" i="2"/>
  <c r="AN658" i="2"/>
  <c r="R658" i="2"/>
  <c r="Q658" i="2"/>
  <c r="O658" i="2"/>
  <c r="AO657" i="2"/>
  <c r="AN657" i="2"/>
  <c r="R657" i="2"/>
  <c r="Q657" i="2"/>
  <c r="O657" i="2"/>
  <c r="AO656" i="2"/>
  <c r="AN656" i="2"/>
  <c r="R656" i="2"/>
  <c r="Q656" i="2"/>
  <c r="O656" i="2"/>
  <c r="AO655" i="2"/>
  <c r="AN655" i="2"/>
  <c r="R655" i="2"/>
  <c r="Q655" i="2"/>
  <c r="O655" i="2"/>
  <c r="AO654" i="2"/>
  <c r="AN654" i="2"/>
  <c r="R654" i="2"/>
  <c r="Q654" i="2"/>
  <c r="O654" i="2"/>
  <c r="AO653" i="2"/>
  <c r="AN653" i="2"/>
  <c r="R653" i="2"/>
  <c r="Q653" i="2"/>
  <c r="O653" i="2"/>
  <c r="AO652" i="2"/>
  <c r="AN652" i="2"/>
  <c r="R652" i="2"/>
  <c r="Q652" i="2"/>
  <c r="O652" i="2"/>
  <c r="AO651" i="2"/>
  <c r="AN651" i="2"/>
  <c r="R651" i="2"/>
  <c r="Q651" i="2"/>
  <c r="O651" i="2"/>
  <c r="AO650" i="2"/>
  <c r="AN650" i="2"/>
  <c r="R650" i="2"/>
  <c r="Q650" i="2"/>
  <c r="O650" i="2"/>
  <c r="AO649" i="2"/>
  <c r="AN649" i="2"/>
  <c r="R649" i="2"/>
  <c r="Q649" i="2"/>
  <c r="O649" i="2"/>
  <c r="AO648" i="2"/>
  <c r="AN648" i="2"/>
  <c r="R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S648" i="2" s="1"/>
  <c r="T648" i="2" s="1"/>
  <c r="AU648" i="17"/>
  <c r="B649" i="17"/>
  <c r="C649" i="17"/>
  <c r="D649" i="17"/>
  <c r="E649" i="17"/>
  <c r="F649" i="17"/>
  <c r="G649" i="17"/>
  <c r="H649" i="17"/>
  <c r="Q649" i="17"/>
  <c r="AA649" i="17"/>
  <c r="S649" i="2" s="1"/>
  <c r="T649" i="2" s="1"/>
  <c r="AU649" i="17"/>
  <c r="B650" i="17"/>
  <c r="C650" i="17"/>
  <c r="D650" i="17"/>
  <c r="E650" i="17"/>
  <c r="F650" i="17"/>
  <c r="G650" i="17"/>
  <c r="H650" i="17"/>
  <c r="Q650" i="17"/>
  <c r="AA650" i="17"/>
  <c r="S650" i="2" s="1"/>
  <c r="T650" i="2" s="1"/>
  <c r="AU650" i="17"/>
  <c r="B651" i="17"/>
  <c r="C651" i="17"/>
  <c r="D651" i="17"/>
  <c r="E651" i="17"/>
  <c r="F651" i="17"/>
  <c r="G651" i="17"/>
  <c r="H651" i="17"/>
  <c r="Q651" i="17"/>
  <c r="AA651" i="17"/>
  <c r="S651" i="2" s="1"/>
  <c r="T651" i="2" s="1"/>
  <c r="AU651" i="17"/>
  <c r="B652" i="17"/>
  <c r="C652" i="17"/>
  <c r="D652" i="17"/>
  <c r="E652" i="17"/>
  <c r="F652" i="17"/>
  <c r="G652" i="17"/>
  <c r="H652" i="17"/>
  <c r="Q652" i="17"/>
  <c r="AA652" i="17"/>
  <c r="S652" i="2" s="1"/>
  <c r="T652" i="2" s="1"/>
  <c r="AU652" i="17"/>
  <c r="B653" i="17"/>
  <c r="C653" i="17"/>
  <c r="D653" i="17"/>
  <c r="E653" i="17"/>
  <c r="F653" i="17"/>
  <c r="G653" i="17"/>
  <c r="H653" i="17"/>
  <c r="Q653" i="17"/>
  <c r="AA653" i="17"/>
  <c r="S653" i="2" s="1"/>
  <c r="T653" i="2" s="1"/>
  <c r="AU653" i="17"/>
  <c r="B654" i="17"/>
  <c r="C654" i="17"/>
  <c r="D654" i="17"/>
  <c r="E654" i="17"/>
  <c r="F654" i="17"/>
  <c r="G654" i="17"/>
  <c r="H654" i="17"/>
  <c r="Q654" i="17"/>
  <c r="AA654" i="17"/>
  <c r="S654" i="2" s="1"/>
  <c r="T654" i="2" s="1"/>
  <c r="AU654" i="17"/>
  <c r="B655" i="17"/>
  <c r="C655" i="17"/>
  <c r="D655" i="17"/>
  <c r="E655" i="17"/>
  <c r="F655" i="17"/>
  <c r="G655" i="17"/>
  <c r="H655" i="17"/>
  <c r="Q655" i="17"/>
  <c r="AA655" i="17"/>
  <c r="S655" i="2" s="1"/>
  <c r="T655" i="2" s="1"/>
  <c r="AU655" i="17"/>
  <c r="B656" i="17"/>
  <c r="C656" i="17"/>
  <c r="D656" i="17"/>
  <c r="E656" i="17"/>
  <c r="F656" i="17"/>
  <c r="G656" i="17"/>
  <c r="H656" i="17"/>
  <c r="Q656" i="17"/>
  <c r="AA656" i="17"/>
  <c r="S656" i="2" s="1"/>
  <c r="T656" i="2" s="1"/>
  <c r="AU656" i="17"/>
  <c r="B657" i="17"/>
  <c r="C657" i="17"/>
  <c r="D657" i="17"/>
  <c r="E657" i="17"/>
  <c r="F657" i="17"/>
  <c r="G657" i="17"/>
  <c r="H657" i="17"/>
  <c r="Q657" i="17"/>
  <c r="AA657" i="17"/>
  <c r="S657" i="2" s="1"/>
  <c r="T657" i="2" s="1"/>
  <c r="AU657" i="17"/>
  <c r="B658" i="17"/>
  <c r="C658" i="17"/>
  <c r="D658" i="17"/>
  <c r="E658" i="17"/>
  <c r="F658" i="17"/>
  <c r="G658" i="17"/>
  <c r="H658" i="17"/>
  <c r="Q658" i="17"/>
  <c r="AA658" i="17"/>
  <c r="S658" i="2" s="1"/>
  <c r="T658" i="2" s="1"/>
  <c r="AU658" i="17"/>
  <c r="B659" i="17"/>
  <c r="C659" i="17"/>
  <c r="D659" i="17"/>
  <c r="E659" i="17"/>
  <c r="F659" i="17"/>
  <c r="G659" i="17"/>
  <c r="H659" i="17"/>
  <c r="Q659" i="17"/>
  <c r="AA659" i="17"/>
  <c r="S659" i="2" s="1"/>
  <c r="T659" i="2" s="1"/>
  <c r="AU659" i="17"/>
  <c r="B660" i="17"/>
  <c r="C660" i="17"/>
  <c r="D660" i="17"/>
  <c r="E660" i="17"/>
  <c r="F660" i="17"/>
  <c r="G660" i="17"/>
  <c r="H660" i="17"/>
  <c r="Q660" i="17"/>
  <c r="AA660" i="17"/>
  <c r="S660" i="2" s="1"/>
  <c r="T660" i="2" s="1"/>
  <c r="AU660" i="17"/>
  <c r="B661" i="17"/>
  <c r="C661" i="17"/>
  <c r="D661" i="17"/>
  <c r="E661" i="17"/>
  <c r="F661" i="17"/>
  <c r="G661" i="17"/>
  <c r="H661" i="17"/>
  <c r="Q661" i="17"/>
  <c r="AA661" i="17"/>
  <c r="S661" i="2" s="1"/>
  <c r="T661" i="2" s="1"/>
  <c r="AU661" i="17"/>
  <c r="B662" i="17"/>
  <c r="C662" i="17"/>
  <c r="D662" i="17"/>
  <c r="E662" i="17"/>
  <c r="F662" i="17"/>
  <c r="G662" i="17"/>
  <c r="H662" i="17"/>
  <c r="Q662" i="17"/>
  <c r="AA662" i="17"/>
  <c r="S662" i="2" s="1"/>
  <c r="T662" i="2" s="1"/>
  <c r="AU662" i="17"/>
  <c r="B663" i="17"/>
  <c r="C663" i="17"/>
  <c r="D663" i="17"/>
  <c r="E663" i="17"/>
  <c r="F663" i="17"/>
  <c r="G663" i="17"/>
  <c r="H663" i="17"/>
  <c r="Q663" i="17"/>
  <c r="AA663" i="17"/>
  <c r="S663" i="2" s="1"/>
  <c r="T663" i="2" s="1"/>
  <c r="AU663" i="17"/>
  <c r="B664" i="17"/>
  <c r="C664" i="17"/>
  <c r="D664" i="17"/>
  <c r="E664" i="17"/>
  <c r="F664" i="17"/>
  <c r="G664" i="17"/>
  <c r="H664" i="17"/>
  <c r="Q664" i="17"/>
  <c r="AA664" i="17"/>
  <c r="AU664" i="17"/>
  <c r="B665" i="17"/>
  <c r="C665" i="17"/>
  <c r="D665" i="17"/>
  <c r="E665" i="17"/>
  <c r="F665" i="17"/>
  <c r="G665" i="17"/>
  <c r="H665" i="17"/>
  <c r="Q665" i="17"/>
  <c r="AA665" i="17"/>
  <c r="S665" i="2" s="1"/>
  <c r="T665" i="2" s="1"/>
  <c r="AU665" i="17"/>
  <c r="B666" i="17"/>
  <c r="C666" i="17"/>
  <c r="D666" i="17"/>
  <c r="E666" i="17"/>
  <c r="F666" i="17"/>
  <c r="G666" i="17"/>
  <c r="H666" i="17"/>
  <c r="Q666" i="17"/>
  <c r="AA666" i="17"/>
  <c r="S666" i="2" s="1"/>
  <c r="T666" i="2" s="1"/>
  <c r="AU666" i="17"/>
  <c r="B667" i="17"/>
  <c r="C667" i="17"/>
  <c r="D667" i="17"/>
  <c r="E667" i="17"/>
  <c r="F667" i="17"/>
  <c r="G667" i="17"/>
  <c r="H667" i="17"/>
  <c r="Q667" i="17"/>
  <c r="AA667" i="17"/>
  <c r="S667" i="2" s="1"/>
  <c r="T667" i="2" s="1"/>
  <c r="AU667" i="17"/>
  <c r="B668" i="17"/>
  <c r="C668" i="17"/>
  <c r="D668" i="17"/>
  <c r="E668" i="17"/>
  <c r="F668" i="17"/>
  <c r="G668" i="17"/>
  <c r="H668" i="17"/>
  <c r="Q668" i="17"/>
  <c r="AA668" i="17"/>
  <c r="S668" i="2" s="1"/>
  <c r="T668" i="2" s="1"/>
  <c r="AU668" i="17"/>
  <c r="B669" i="17"/>
  <c r="C669" i="17"/>
  <c r="D669" i="17"/>
  <c r="E669" i="17"/>
  <c r="F669" i="17"/>
  <c r="G669" i="17"/>
  <c r="H669" i="17"/>
  <c r="Q669" i="17"/>
  <c r="AA669" i="17"/>
  <c r="S669" i="2" s="1"/>
  <c r="T669" i="2" s="1"/>
  <c r="AU669" i="17"/>
  <c r="B670" i="17"/>
  <c r="C670" i="17"/>
  <c r="D670" i="17"/>
  <c r="E670" i="17"/>
  <c r="F670" i="17"/>
  <c r="G670" i="17"/>
  <c r="H670" i="17"/>
  <c r="Q670" i="17"/>
  <c r="AA670" i="17"/>
  <c r="S670" i="2" s="1"/>
  <c r="T670" i="2" s="1"/>
  <c r="AU670" i="17"/>
  <c r="B671" i="17"/>
  <c r="C671" i="17"/>
  <c r="D671" i="17"/>
  <c r="E671" i="17"/>
  <c r="F671" i="17"/>
  <c r="G671" i="17"/>
  <c r="H671" i="17"/>
  <c r="Q671" i="17"/>
  <c r="AA671" i="17"/>
  <c r="S671" i="2" s="1"/>
  <c r="T671" i="2" s="1"/>
  <c r="AU671" i="17"/>
  <c r="B672" i="17"/>
  <c r="C672" i="17"/>
  <c r="D672" i="17"/>
  <c r="E672" i="17"/>
  <c r="F672" i="17"/>
  <c r="G672" i="17"/>
  <c r="H672" i="17"/>
  <c r="Q672" i="17"/>
  <c r="AA672" i="17"/>
  <c r="S672" i="2" s="1"/>
  <c r="T672" i="2" s="1"/>
  <c r="AU672" i="17"/>
  <c r="B673" i="17"/>
  <c r="C673" i="17"/>
  <c r="D673" i="17"/>
  <c r="E673" i="17"/>
  <c r="F673" i="17"/>
  <c r="G673" i="17"/>
  <c r="H673" i="17"/>
  <c r="Q673" i="17"/>
  <c r="AA673" i="17"/>
  <c r="S673" i="2" s="1"/>
  <c r="T673" i="2" s="1"/>
  <c r="AU673" i="17"/>
  <c r="B674" i="17"/>
  <c r="C674" i="17"/>
  <c r="D674" i="17"/>
  <c r="E674" i="17"/>
  <c r="F674" i="17"/>
  <c r="G674" i="17"/>
  <c r="H674" i="17"/>
  <c r="Q674" i="17"/>
  <c r="AA674" i="17"/>
  <c r="S674" i="2" s="1"/>
  <c r="T674" i="2" s="1"/>
  <c r="AU674" i="17"/>
  <c r="B675" i="17"/>
  <c r="C675" i="17"/>
  <c r="D675" i="17"/>
  <c r="E675" i="17"/>
  <c r="F675" i="17"/>
  <c r="G675" i="17"/>
  <c r="H675" i="17"/>
  <c r="Q675" i="17"/>
  <c r="AA675" i="17"/>
  <c r="S675" i="2" s="1"/>
  <c r="T675" i="2" s="1"/>
  <c r="AU675" i="17"/>
  <c r="B676" i="17"/>
  <c r="C676" i="17"/>
  <c r="D676" i="17"/>
  <c r="E676" i="17"/>
  <c r="F676" i="17"/>
  <c r="G676" i="17"/>
  <c r="H676" i="17"/>
  <c r="Q676" i="17"/>
  <c r="AA676" i="17"/>
  <c r="S676" i="2" s="1"/>
  <c r="T676" i="2" s="1"/>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L167" i="32" s="1"/>
  <c r="L165" i="32"/>
  <c r="S163" i="32"/>
  <c r="R163" i="32"/>
  <c r="P163" i="32"/>
  <c r="N163" i="32"/>
  <c r="J163" i="32"/>
  <c r="L163" i="32" s="1"/>
  <c r="L161" i="32"/>
  <c r="S159" i="32"/>
  <c r="R159" i="32"/>
  <c r="P159" i="32"/>
  <c r="N159" i="32"/>
  <c r="J159" i="32"/>
  <c r="J158" i="32" s="1"/>
  <c r="K158"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N154" i="32" l="1"/>
  <c r="K159" i="32"/>
  <c r="K163" i="32"/>
  <c r="K167" i="32"/>
  <c r="L159" i="32"/>
  <c r="L158" i="32" s="1"/>
  <c r="N158" i="32"/>
  <c r="I3" i="32"/>
  <c r="E241" i="32"/>
  <c r="N34" i="32"/>
  <c r="L34" i="32"/>
  <c r="M34"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L37" i="32" l="1"/>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H226" i="30" s="1"/>
  <c r="G230" i="30"/>
  <c r="G229" i="30" s="1"/>
  <c r="G228" i="30" s="1"/>
  <c r="G227" i="30" s="1"/>
  <c r="G226" i="30" s="1"/>
  <c r="S229" i="30"/>
  <c r="R229" i="30"/>
  <c r="P229" i="30"/>
  <c r="S228" i="30"/>
  <c r="R228" i="30"/>
  <c r="P228" i="30"/>
  <c r="I228" i="30"/>
  <c r="I227" i="30" s="1"/>
  <c r="I226" i="30" s="1"/>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I3"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H132" i="28" s="1"/>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G40" i="28" s="1"/>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N239" i="26"/>
  <c r="N52" i="27" s="1"/>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G230" i="26"/>
  <c r="G229" i="26" s="1"/>
  <c r="G228" i="26" s="1"/>
  <c r="G227" i="26" s="1"/>
  <c r="G226" i="26" s="1"/>
  <c r="S229" i="26"/>
  <c r="R229" i="26"/>
  <c r="P229" i="26"/>
  <c r="H229" i="26"/>
  <c r="H228" i="26" s="1"/>
  <c r="H227" i="26" s="1"/>
  <c r="H226" i="26" s="1"/>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L217" i="26" s="1"/>
  <c r="L39" i="27" s="1"/>
  <c r="S217" i="26"/>
  <c r="R217" i="26"/>
  <c r="P217" i="26"/>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N194" i="26"/>
  <c r="E194" i="26"/>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K163" i="26"/>
  <c r="K27" i="27" s="1"/>
  <c r="J163" i="26"/>
  <c r="J27" i="27" s="1"/>
  <c r="L161" i="26"/>
  <c r="S159" i="26"/>
  <c r="R159" i="26"/>
  <c r="P159" i="26"/>
  <c r="N159" i="26"/>
  <c r="K159" i="26"/>
  <c r="K26" i="27" s="1"/>
  <c r="J159" i="26"/>
  <c r="J26" i="27" s="1"/>
  <c r="S158" i="26"/>
  <c r="R158" i="26"/>
  <c r="P158" i="26"/>
  <c r="J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F254" i="21"/>
  <c r="G254" i="21" s="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G224" i="21"/>
  <c r="F224" i="21"/>
  <c r="H223" i="21"/>
  <c r="F223" i="21"/>
  <c r="G223" i="21" s="1"/>
  <c r="E222" i="21"/>
  <c r="H222" i="21" s="1"/>
  <c r="C222" i="21"/>
  <c r="B222" i="21"/>
  <c r="H221" i="21"/>
  <c r="G221" i="21"/>
  <c r="F221" i="2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G191" i="21"/>
  <c r="F191" i="2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G83" i="21"/>
  <c r="F83" i="2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G63" i="21"/>
  <c r="F63" i="21"/>
  <c r="H62" i="21"/>
  <c r="G62" i="21"/>
  <c r="F62" i="21"/>
  <c r="H61" i="21"/>
  <c r="F61" i="21"/>
  <c r="G61" i="21" s="1"/>
  <c r="H60" i="21"/>
  <c r="F60" i="21"/>
  <c r="G60" i="21" s="1"/>
  <c r="H59" i="21"/>
  <c r="F59" i="21"/>
  <c r="G59" i="21" s="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G16" i="21"/>
  <c r="F16" i="2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G6" i="21"/>
  <c r="F6" i="2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U212" i="17"/>
  <c r="AB212" i="17"/>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Q587" i="2"/>
  <c r="O587" i="2"/>
  <c r="R586" i="2"/>
  <c r="Q586" i="2"/>
  <c r="O586" i="2"/>
  <c r="Q585" i="2"/>
  <c r="O585" i="2"/>
  <c r="Q584" i="2"/>
  <c r="O584" i="2"/>
  <c r="R583" i="2"/>
  <c r="Q583" i="2"/>
  <c r="O583" i="2"/>
  <c r="Q582" i="2"/>
  <c r="O582" i="2"/>
  <c r="R581"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I3" i="26" l="1"/>
  <c r="J216" i="30"/>
  <c r="K216" i="30" s="1"/>
  <c r="L159" i="26"/>
  <c r="L26" i="27" s="1"/>
  <c r="L163" i="26"/>
  <c r="L27" i="27" s="1"/>
  <c r="L167" i="26"/>
  <c r="L28" i="27" s="1"/>
  <c r="H7" i="28"/>
  <c r="H6" i="28" s="1"/>
  <c r="H5" i="28" s="1"/>
  <c r="G117" i="28"/>
  <c r="L133" i="28"/>
  <c r="K30" i="28"/>
  <c r="AU326" i="17"/>
  <c r="L30" i="28"/>
  <c r="M30" i="28" s="1"/>
  <c r="M128" i="28"/>
  <c r="H75" i="28"/>
  <c r="G132" i="28"/>
  <c r="R637" i="2"/>
  <c r="R664" i="2"/>
  <c r="S664" i="2"/>
  <c r="T664" i="2" s="1"/>
  <c r="S637" i="2"/>
  <c r="T637" i="2" s="1"/>
  <c r="AK637" i="2" s="1"/>
  <c r="P714" i="2"/>
  <c r="U714" i="2" s="1"/>
  <c r="V713" i="2"/>
  <c r="P711" i="2"/>
  <c r="U711" i="2" s="1"/>
  <c r="V708" i="2"/>
  <c r="P703" i="2"/>
  <c r="U703" i="2" s="1"/>
  <c r="V702" i="2"/>
  <c r="P702" i="2"/>
  <c r="U702" i="2" s="1"/>
  <c r="V701" i="2"/>
  <c r="P695" i="2"/>
  <c r="U695" i="2" s="1"/>
  <c r="V694" i="2"/>
  <c r="P694" i="2"/>
  <c r="U694" i="2" s="1"/>
  <c r="V693" i="2"/>
  <c r="P709" i="2"/>
  <c r="U709" i="2" s="1"/>
  <c r="P705" i="2"/>
  <c r="U705" i="2" s="1"/>
  <c r="P696" i="2"/>
  <c r="U696" i="2" s="1"/>
  <c r="V715" i="2"/>
  <c r="P713" i="2"/>
  <c r="U713" i="2" s="1"/>
  <c r="V710" i="2"/>
  <c r="P708" i="2"/>
  <c r="U708" i="2" s="1"/>
  <c r="V707" i="2"/>
  <c r="P701" i="2"/>
  <c r="U701" i="2" s="1"/>
  <c r="V700" i="2"/>
  <c r="P700" i="2"/>
  <c r="U700" i="2" s="1"/>
  <c r="V699" i="2"/>
  <c r="P693" i="2"/>
  <c r="U693" i="2" s="1"/>
  <c r="V692" i="2"/>
  <c r="P692" i="2"/>
  <c r="U692" i="2" s="1"/>
  <c r="V711" i="2"/>
  <c r="V704" i="2"/>
  <c r="V703" i="2"/>
  <c r="V696" i="2"/>
  <c r="Y696" i="2" s="1"/>
  <c r="AC696" i="2" s="1"/>
  <c r="V695" i="2"/>
  <c r="P715" i="2"/>
  <c r="U715" i="2" s="1"/>
  <c r="V712" i="2"/>
  <c r="P710" i="2"/>
  <c r="U710" i="2" s="1"/>
  <c r="V709" i="2"/>
  <c r="P707" i="2"/>
  <c r="U707" i="2" s="1"/>
  <c r="V706" i="2"/>
  <c r="P706" i="2"/>
  <c r="U706" i="2" s="1"/>
  <c r="V705" i="2"/>
  <c r="P699" i="2"/>
  <c r="U699" i="2" s="1"/>
  <c r="V698" i="2"/>
  <c r="P698" i="2"/>
  <c r="U698" i="2" s="1"/>
  <c r="V697" i="2"/>
  <c r="V714" i="2"/>
  <c r="Y714" i="2" s="1"/>
  <c r="AC714" i="2" s="1"/>
  <c r="P712" i="2"/>
  <c r="U712" i="2" s="1"/>
  <c r="W712" i="2" s="1"/>
  <c r="P704" i="2"/>
  <c r="U704" i="2" s="1"/>
  <c r="P697" i="2"/>
  <c r="U697" i="2" s="1"/>
  <c r="S596" i="2"/>
  <c r="T596" i="2" s="1"/>
  <c r="AK596" i="2" s="1"/>
  <c r="R596" i="2"/>
  <c r="Z713" i="2"/>
  <c r="Z709" i="2"/>
  <c r="Z712" i="2"/>
  <c r="Z708" i="2"/>
  <c r="Z715" i="2"/>
  <c r="Z711" i="2"/>
  <c r="Z714" i="2"/>
  <c r="Z710" i="2"/>
  <c r="AK711" i="2"/>
  <c r="AK713" i="2"/>
  <c r="AK709" i="2"/>
  <c r="AK708" i="2"/>
  <c r="AK714" i="2"/>
  <c r="AK710" i="2"/>
  <c r="AK715" i="2"/>
  <c r="AK712" i="2"/>
  <c r="Z705" i="2"/>
  <c r="Z701" i="2"/>
  <c r="Z704" i="2"/>
  <c r="Z700" i="2"/>
  <c r="Z707" i="2"/>
  <c r="Z703" i="2"/>
  <c r="Z706" i="2"/>
  <c r="Z702" i="2"/>
  <c r="AK701" i="2"/>
  <c r="AK705" i="2"/>
  <c r="AK704" i="2"/>
  <c r="AK700" i="2"/>
  <c r="AK703" i="2"/>
  <c r="AK707" i="2"/>
  <c r="AK706" i="2"/>
  <c r="AK702" i="2"/>
  <c r="Z697" i="2"/>
  <c r="Z693" i="2"/>
  <c r="Z696" i="2"/>
  <c r="Z692" i="2"/>
  <c r="Z699" i="2"/>
  <c r="Z695" i="2"/>
  <c r="Z698" i="2"/>
  <c r="Z694" i="2"/>
  <c r="AK695" i="2"/>
  <c r="AK699" i="2"/>
  <c r="AK696" i="2"/>
  <c r="AK692" i="2"/>
  <c r="AK698" i="2"/>
  <c r="AK694" i="2"/>
  <c r="AK697" i="2"/>
  <c r="AK693" i="2"/>
  <c r="S555" i="2"/>
  <c r="T555" i="2" s="1"/>
  <c r="AK555" i="2" s="1"/>
  <c r="R555" i="2"/>
  <c r="P677" i="2"/>
  <c r="S587" i="2"/>
  <c r="T587" i="2" s="1"/>
  <c r="AK587" i="2" s="1"/>
  <c r="R587" i="2"/>
  <c r="S585" i="2"/>
  <c r="T585" i="2" s="1"/>
  <c r="Z585" i="2" s="1"/>
  <c r="R585" i="2"/>
  <c r="P687" i="2"/>
  <c r="U687" i="2" s="1"/>
  <c r="P676" i="2"/>
  <c r="U676" i="2" s="1"/>
  <c r="P685" i="2"/>
  <c r="U685" i="2" s="1"/>
  <c r="P690" i="2"/>
  <c r="U690" i="2" s="1"/>
  <c r="P688" i="2"/>
  <c r="U688" i="2" s="1"/>
  <c r="V677" i="2"/>
  <c r="P683" i="2"/>
  <c r="U683" i="2" s="1"/>
  <c r="P682" i="2"/>
  <c r="U682" i="2" s="1"/>
  <c r="V686" i="2"/>
  <c r="V691" i="2"/>
  <c r="V684" i="2"/>
  <c r="V689" i="2"/>
  <c r="V687" i="2"/>
  <c r="Y687" i="2" s="1"/>
  <c r="AC687" i="2" s="1"/>
  <c r="V676" i="2"/>
  <c r="V682" i="2"/>
  <c r="P681" i="2"/>
  <c r="U681" i="2" s="1"/>
  <c r="V679" i="2"/>
  <c r="V685" i="2"/>
  <c r="V683" i="2"/>
  <c r="V688" i="2"/>
  <c r="V680" i="2"/>
  <c r="V690" i="2"/>
  <c r="V678" i="2"/>
  <c r="U677" i="2"/>
  <c r="P680" i="2"/>
  <c r="U680" i="2" s="1"/>
  <c r="P686" i="2"/>
  <c r="U686" i="2" s="1"/>
  <c r="P684" i="2"/>
  <c r="U684" i="2" s="1"/>
  <c r="W684" i="2" s="1"/>
  <c r="P689" i="2"/>
  <c r="U689" i="2" s="1"/>
  <c r="W689" i="2" s="1"/>
  <c r="V681" i="2"/>
  <c r="P691" i="2"/>
  <c r="U691" i="2" s="1"/>
  <c r="W691" i="2" s="1"/>
  <c r="P679" i="2"/>
  <c r="U679" i="2" s="1"/>
  <c r="P678" i="2"/>
  <c r="U678" i="2" s="1"/>
  <c r="Z689" i="2"/>
  <c r="Z685" i="2"/>
  <c r="Z687" i="2"/>
  <c r="Z690" i="2"/>
  <c r="Z686" i="2"/>
  <c r="Z688" i="2"/>
  <c r="Z684" i="2"/>
  <c r="Z691" i="2"/>
  <c r="AK684" i="2"/>
  <c r="AK690" i="2"/>
  <c r="AK687" i="2"/>
  <c r="AK686" i="2"/>
  <c r="AK688" i="2"/>
  <c r="AK691" i="2"/>
  <c r="AK685" i="2"/>
  <c r="AK689" i="2"/>
  <c r="Z681" i="2"/>
  <c r="Z677" i="2"/>
  <c r="Z683" i="2"/>
  <c r="AK679" i="2"/>
  <c r="Z679" i="2"/>
  <c r="Z682" i="2"/>
  <c r="Z678" i="2"/>
  <c r="Z680" i="2"/>
  <c r="Z676" i="2"/>
  <c r="AK676" i="2"/>
  <c r="AK677" i="2"/>
  <c r="AK680" i="2"/>
  <c r="AK682" i="2"/>
  <c r="AK678" i="2"/>
  <c r="AK681"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74" i="2"/>
  <c r="U674" i="2" s="1"/>
  <c r="P656" i="2"/>
  <c r="U656" i="2" s="1"/>
  <c r="P647" i="2"/>
  <c r="U647" i="2" s="1"/>
  <c r="P661" i="2"/>
  <c r="U661" i="2" s="1"/>
  <c r="P670" i="2"/>
  <c r="U670" i="2" s="1"/>
  <c r="P662" i="2"/>
  <c r="U662" i="2" s="1"/>
  <c r="P665" i="2"/>
  <c r="U665" i="2" s="1"/>
  <c r="P658" i="2"/>
  <c r="U658" i="2" s="1"/>
  <c r="V667" i="2"/>
  <c r="V653" i="2"/>
  <c r="V663" i="2"/>
  <c r="V648" i="2"/>
  <c r="V662" i="2"/>
  <c r="V674" i="2"/>
  <c r="V651" i="2"/>
  <c r="P673" i="2"/>
  <c r="U673" i="2" s="1"/>
  <c r="P653" i="2"/>
  <c r="U653" i="2" s="1"/>
  <c r="P646" i="2"/>
  <c r="U646" i="2" s="1"/>
  <c r="P655" i="2"/>
  <c r="U655" i="2" s="1"/>
  <c r="P667" i="2"/>
  <c r="U667" i="2" s="1"/>
  <c r="P657" i="2"/>
  <c r="U657" i="2" s="1"/>
  <c r="P652" i="2"/>
  <c r="U652" i="2" s="1"/>
  <c r="P649" i="2"/>
  <c r="U649" i="2" s="1"/>
  <c r="V664" i="2"/>
  <c r="V650" i="2"/>
  <c r="V661" i="2"/>
  <c r="V675" i="2"/>
  <c r="V660" i="2"/>
  <c r="V669" i="2"/>
  <c r="V647" i="2"/>
  <c r="P668" i="2"/>
  <c r="U668" i="2" s="1"/>
  <c r="P651" i="2"/>
  <c r="U651" i="2" s="1"/>
  <c r="P672" i="2"/>
  <c r="U672" i="2" s="1"/>
  <c r="P654" i="2"/>
  <c r="U654" i="2" s="1"/>
  <c r="P666" i="2"/>
  <c r="U666" i="2" s="1"/>
  <c r="P675" i="2"/>
  <c r="U675" i="2" s="1"/>
  <c r="P648" i="2"/>
  <c r="U648" i="2" s="1"/>
  <c r="V673" i="2"/>
  <c r="V659" i="2"/>
  <c r="V646" i="2"/>
  <c r="V658" i="2"/>
  <c r="V670" i="2"/>
  <c r="V657" i="2"/>
  <c r="V668" i="2"/>
  <c r="V654" i="2"/>
  <c r="P660" i="2"/>
  <c r="U660" i="2" s="1"/>
  <c r="P650" i="2"/>
  <c r="U650" i="2" s="1"/>
  <c r="P664" i="2"/>
  <c r="U664" i="2" s="1"/>
  <c r="P671" i="2"/>
  <c r="U671" i="2" s="1"/>
  <c r="P663" i="2"/>
  <c r="U663" i="2" s="1"/>
  <c r="P669" i="2"/>
  <c r="U669" i="2" s="1"/>
  <c r="P659" i="2"/>
  <c r="U659" i="2" s="1"/>
  <c r="V672" i="2"/>
  <c r="Y672" i="2" s="1"/>
  <c r="AC672" i="2" s="1"/>
  <c r="V655" i="2"/>
  <c r="V671" i="2"/>
  <c r="V649" i="2"/>
  <c r="V666" i="2"/>
  <c r="V656" i="2"/>
  <c r="V665" i="2"/>
  <c r="V652" i="2"/>
  <c r="Z673" i="2"/>
  <c r="Z669" i="2"/>
  <c r="Z665" i="2"/>
  <c r="Z661" i="2"/>
  <c r="Z657" i="2"/>
  <c r="Z653" i="2"/>
  <c r="Z649" i="2"/>
  <c r="Z672" i="2"/>
  <c r="Z668" i="2"/>
  <c r="Z664" i="2"/>
  <c r="Z674" i="2"/>
  <c r="Z670" i="2"/>
  <c r="Z666" i="2"/>
  <c r="Z662" i="2"/>
  <c r="Z658" i="2"/>
  <c r="Z654" i="2"/>
  <c r="Z650" i="2"/>
  <c r="Z646" i="2"/>
  <c r="Z663" i="2"/>
  <c r="Z660" i="2"/>
  <c r="AK656" i="2"/>
  <c r="Z655" i="2"/>
  <c r="Z652" i="2"/>
  <c r="AK648" i="2"/>
  <c r="Z647" i="2"/>
  <c r="Z671" i="2"/>
  <c r="AK667" i="2"/>
  <c r="Z667" i="2"/>
  <c r="Z659" i="2"/>
  <c r="Z656" i="2"/>
  <c r="Z651" i="2"/>
  <c r="Z648" i="2"/>
  <c r="Z675" i="2"/>
  <c r="AK652" i="2"/>
  <c r="AK659" i="2"/>
  <c r="AK657" i="2"/>
  <c r="AK675" i="2"/>
  <c r="AK669" i="2"/>
  <c r="AK670" i="2"/>
  <c r="AK674" i="2"/>
  <c r="AK655" i="2"/>
  <c r="AK654" i="2"/>
  <c r="AK658" i="2"/>
  <c r="AK663" i="2"/>
  <c r="AK647" i="2"/>
  <c r="AK649" i="2"/>
  <c r="AK664" i="2"/>
  <c r="AK646" i="2"/>
  <c r="AK662" i="2"/>
  <c r="AK650" i="2"/>
  <c r="AK671" i="2"/>
  <c r="AK651" i="2"/>
  <c r="AK661" i="2"/>
  <c r="AK666" i="2"/>
  <c r="AK673" i="2"/>
  <c r="AK665" i="2"/>
  <c r="AK672" i="2"/>
  <c r="AK653"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40" i="2"/>
  <c r="AK624"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581" i="2"/>
  <c r="T581" i="2" s="1"/>
  <c r="AK581"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Z637" i="2" l="1"/>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A714" i="2"/>
  <c r="AB712" i="2"/>
  <c r="AB711" i="2"/>
  <c r="AB709" i="2"/>
  <c r="AB715" i="2"/>
  <c r="AB713" i="2"/>
  <c r="AB701" i="2"/>
  <c r="AB702" i="2"/>
  <c r="AB700" i="2"/>
  <c r="AB703" i="2"/>
  <c r="AB706" i="2"/>
  <c r="AB704" i="2"/>
  <c r="AB707" i="2"/>
  <c r="AB705" i="2"/>
  <c r="AB694" i="2"/>
  <c r="AB692" i="2"/>
  <c r="AB698" i="2"/>
  <c r="AA696"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90" i="2"/>
  <c r="AB684" i="2"/>
  <c r="AB688" i="2"/>
  <c r="AB685" i="2"/>
  <c r="AB691" i="2"/>
  <c r="AB687" i="2"/>
  <c r="AA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48" i="2"/>
  <c r="AB660" i="2"/>
  <c r="AA672" i="2"/>
  <c r="AB672" i="2"/>
  <c r="AB651" i="2"/>
  <c r="AB652" i="2"/>
  <c r="AB663" i="2"/>
  <c r="AB658" i="2"/>
  <c r="AB674" i="2"/>
  <c r="AB649" i="2"/>
  <c r="AB665" i="2"/>
  <c r="AB670" i="2"/>
  <c r="AB656" i="2"/>
  <c r="AB671" i="2"/>
  <c r="AB655" i="2"/>
  <c r="AB646" i="2"/>
  <c r="AB662" i="2"/>
  <c r="AB664" i="2"/>
  <c r="AB653" i="2"/>
  <c r="AB669" i="2"/>
  <c r="AB667" i="2"/>
  <c r="AB654" i="2"/>
  <c r="AB661" i="2"/>
  <c r="AB675" i="2"/>
  <c r="AB659" i="2"/>
  <c r="AB647" i="2"/>
  <c r="AB650"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23" i="2"/>
  <c r="AB607" i="2"/>
  <c r="AB630" i="2"/>
  <c r="AB614" i="2"/>
  <c r="AB633" i="2"/>
  <c r="AB617" i="2"/>
  <c r="AB620" i="2"/>
  <c r="AB612" i="2"/>
  <c r="AB628" i="2"/>
  <c r="AB635" i="2"/>
  <c r="AB619" i="2"/>
  <c r="AB642" i="2"/>
  <c r="AB626" i="2"/>
  <c r="AB610" i="2"/>
  <c r="AB629" i="2"/>
  <c r="AB613" i="2"/>
  <c r="AB644" i="2"/>
  <c r="AB640" i="2"/>
  <c r="AB645" i="2"/>
  <c r="AB631" i="2"/>
  <c r="AB615" i="2"/>
  <c r="AB638"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699" i="2" l="1"/>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01" i="23" l="1"/>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<sst xmlns="http://schemas.openxmlformats.org/spreadsheetml/2006/main" count="20535" uniqueCount="4359">
  <si>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</si>
  <si>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</si>
  <si>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</si>
  <si>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</si>
  <si>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</si>
  <si>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</si>
  <si>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</si>
  <si>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</si>
  <si>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</si>
  <si>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</si>
  <si>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</si>
  <si>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</si>
  <si>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</si>
  <si>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</si>
  <si>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</si>
  <si>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</si>
  <si>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</si>
  <si>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</si>
  <si>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</si>
  <si>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</si>
  <si>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</si>
  <si>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</si>
  <si>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</si>
  <si>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</si>
  <si>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</si>
  <si>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</si>
  <si>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</si>
  <si>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</si>
  <si>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</si>
  <si>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</si>
  <si>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</si>
  <si>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</si>
  <si>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</si>
  <si>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</si>
  <si>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</si>
  <si>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</si>
  <si>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</si>
  <si>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</si>
  <si>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</si>
  <si>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</si>
  <si>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</si>
  <si>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</si>
  <si>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</si>
  <si>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</si>
  <si>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</si>
  <si>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</si>
  <si>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</si>
  <si>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</si>
  <si>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</si>
  <si>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</si>
  <si>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</si>
  <si>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</si>
  <si>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</si>
  <si>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</si>
  <si>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</si>
  <si>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</si>
  <si>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</si>
  <si>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</si>
  <si>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</si>
  <si>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</si>
  <si>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</si>
  <si>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</si>
  <si>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</si>
  <si>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</si>
  <si>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</si>
  <si>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</si>
  <si>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</si>
  <si>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</si>
  <si>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</si>
  <si>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</si>
  <si>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</si>
  <si>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</si>
  <si>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</si>
  <si>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</si>
  <si>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</si>
  <si>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</si>
  <si>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</si>
  <si>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</si>
  <si>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</si>
  <si>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</si>
  <si>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</si>
  <si>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</si>
  <si>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</si>
  <si>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</si>
  <si>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</si>
  <si>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</si>
  <si>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</si>
  <si>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</si>
  <si>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</si>
  <si>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</si>
  <si>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</si>
  <si>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</si>
  <si>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</si>
  <si>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</si>
  <si>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</si>
  <si>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</si>
  <si>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</si>
  <si>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</si>
  <si>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</si>
  <si>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</si>
  <si>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</si>
  <si>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</si>
  <si>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</si>
  <si>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</si>
  <si>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</si>
  <si>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</si>
  <si>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</si>
  <si>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</si>
  <si>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</si>
  <si>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</si>
  <si>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</si>
  <si>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</si>
  <si>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</si>
  <si>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</si>
  <si>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</si>
  <si>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</si>
  <si>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</si>
  <si>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</si>
  <si>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</si>
  <si>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</si>
  <si>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</si>
  <si>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</si>
  <si>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</si>
  <si>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</si>
  <si>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</si>
  <si>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</si>
  <si>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</si>
  <si>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</si>
  <si>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</si>
  <si>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</si>
  <si>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</si>
  <si>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</si>
  <si>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</si>
  <si>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</si>
  <si>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</si>
  <si>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</si>
  <si>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</si>
  <si>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</si>
  <si>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</si>
  <si>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</si>
  <si>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</si>
  <si>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</si>
  <si>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</si>
  <si>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</si>
  <si>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</si>
  <si>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</si>
  <si>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</si>
  <si>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</si>
  <si>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</si>
  <si>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</si>
  <si>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</si>
  <si>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</si>
  <si>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</si>
  <si>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</si>
  <si>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</si>
  <si>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</si>
  <si>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</si>
  <si>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</si>
  <si>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</si>
  <si>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</si>
  <si>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</si>
  <si>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</si>
  <si>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</si>
  <si>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</si>
  <si>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</si>
  <si>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</si>
  <si>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</si>
  <si>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</si>
  <si>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</si>
  <si>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</si>
  <si>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</si>
  <si>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</si>
  <si>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</si>
  <si>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</si>
  <si>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</si>
  <si>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</si>
  <si>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</si>
  <si>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</si>
  <si>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</si>
  <si>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</si>
  <si>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</si>
  <si>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</si>
  <si>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</si>
  <si>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</si>
  <si>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</si>
  <si>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</si>
  <si>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</si>
  <si>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</si>
  <si>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</si>
  <si>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</si>
  <si>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</si>
  <si>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</si>
  <si>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</si>
  <si>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</si>
  <si>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</si>
  <si>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</si>
  <si>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</si>
  <si>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</si>
  <si>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</si>
  <si>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</si>
  <si>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</si>
  <si>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</si>
  <si>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</si>
  <si>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</si>
  <si>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</si>
  <si>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</si>
  <si>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</si>
  <si>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</si>
  <si>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</si>
  <si>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</si>
  <si>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</si>
  <si>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</si>
  <si>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</si>
  <si>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</si>
  <si>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</si>
  <si>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</si>
  <si>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</si>
  <si>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</si>
  <si>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</si>
  <si>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</si>
  <si>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</si>
  <si>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</si>
  <si>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</si>
  <si>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</si>
  <si>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</si>
  <si>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</si>
  <si>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</si>
  <si>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</si>
  <si>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</si>
  <si>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</si>
  <si>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</si>
  <si>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</si>
  <si>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</si>
  <si>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</si>
  <si>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</si>
  <si>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</si>
  <si>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</si>
  <si>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</si>
  <si>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</si>
  <si>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</si>
  <si>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</si>
  <si>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</si>
  <si>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</si>
  <si>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</si>
  <si>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</si>
  <si>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</si>
  <si>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</si>
  <si>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</si>
  <si>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</si>
  <si>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</si>
  <si>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</si>
  <si>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</si>
  <si>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</si>
  <si>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</si>
  <si>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</si>
  <si>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</si>
  <si>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</si>
  <si>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</si>
  <si>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</si>
  <si>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</si>
  <si>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</si>
  <si>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</si>
  <si>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</si>
  <si>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</si>
  <si>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</si>
  <si>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</si>
  <si>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</si>
  <si>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</si>
  <si>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</si>
  <si>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</si>
  <si>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</si>
  <si>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</si>
  <si>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</si>
  <si>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</si>
  <si>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</si>
  <si>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</si>
  <si>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</si>
  <si>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</si>
  <si>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</si>
  <si>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</si>
  <si>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</si>
  <si>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</si>
  <si>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</si>
  <si>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</si>
  <si>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</si>
  <si>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</si>
  <si>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</si>
  <si>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</si>
  <si>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</si>
  <si>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</si>
  <si>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</si>
  <si>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</si>
  <si>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</si>
  <si>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</si>
  <si>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</si>
  <si>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</si>
  <si>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</si>
  <si>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</si>
  <si>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</si>
  <si>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</si>
  <si>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</si>
  <si>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</si>
  <si>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</si>
  <si>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</si>
  <si>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</si>
  <si>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</si>
  <si>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</si>
  <si>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</si>
  <si>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</si>
  <si>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</si>
  <si>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</si>
  <si>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</si>
  <si>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</si>
  <si>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</si>
  <si>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</si>
  <si>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</si>
  <si>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</si>
  <si>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</si>
  <si>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</si>
  <si>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</si>
  <si>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</si>
  <si>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</si>
  <si>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</si>
  <si>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</si>
  <si>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</si>
  <si>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</si>
  <si>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</si>
  <si>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</si>
  <si>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</si>
  <si>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</si>
  <si>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</si>
  <si>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</si>
  <si>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</si>
  <si>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</si>
  <si>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</si>
  <si>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</si>
  <si>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</si>
  <si>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</si>
  <si>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</si>
  <si>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</si>
  <si>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</si>
  <si>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</si>
  <si>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</si>
  <si>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</si>
  <si>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</si>
  <si>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</si>
  <si>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</si>
  <si>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</si>
  <si>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</si>
  <si>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</si>
  <si>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</si>
  <si>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</si>
  <si>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</si>
  <si>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</si>
  <si>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</si>
  <si>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</si>
  <si>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</si>
  <si>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</si>
  <si>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</si>
  <si>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</si>
  <si>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</si>
  <si>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</si>
  <si>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</si>
  <si>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</si>
  <si>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</si>
  <si>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</si>
  <si>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</si>
  <si>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</si>
  <si>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</si>
  <si>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</si>
  <si>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</si>
  <si>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</si>
  <si>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</si>
  <si>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</si>
  <si>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</si>
  <si>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</si>
  <si>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</si>
  <si>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</si>
  <si>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</si>
  <si>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</si>
  <si>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</si>
  <si>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</si>
  <si>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</si>
  <si>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</si>
  <si>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</si>
  <si>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</si>
  <si>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</si>
  <si>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</si>
  <si>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</si>
  <si>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</si>
  <si>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</si>
  <si>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</si>
  <si>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</si>
  <si>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</si>
  <si>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</si>
  <si>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</si>
  <si>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</si>
  <si>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</si>
  <si>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</si>
  <si>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</si>
  <si>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</si>
  <si>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</si>
  <si>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</si>
  <si>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</si>
  <si>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</si>
  <si>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</si>
  <si>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</si>
  <si>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</si>
  <si>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</si>
  <si>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</si>
  <si>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</si>
  <si>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</si>
  <si>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</si>
  <si>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</si>
  <si>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</si>
  <si>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</si>
  <si>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</si>
  <si>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</si>
  <si>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</si>
  <si>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</si>
  <si>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</si>
  <si>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</si>
  <si>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</si>
  <si>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</si>
  <si>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</si>
  <si>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</si>
  <si>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</si>
  <si>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</si>
  <si>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</si>
  <si>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</si>
  <si>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</si>
  <si>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</si>
  <si>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</si>
  <si>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</si>
  <si>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</si>
  <si>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</si>
  <si>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</si>
  <si>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</si>
  <si>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</si>
  <si>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</si>
  <si>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</si>
  <si>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</si>
  <si>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</si>
  <si>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</si>
  <si>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</si>
  <si>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</si>
  <si>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</si>
  <si>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</si>
  <si>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</si>
  <si>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</si>
  <si>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</si>
  <si>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</si>
  <si>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</si>
  <si>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</si>
  <si>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</si>
  <si>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</si>
  <si>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</si>
  <si>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</si>
  <si>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</si>
  <si>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</si>
  <si>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</si>
  <si>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</si>
  <si>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</si>
  <si>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</si>
  <si>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</si>
  <si>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</si>
  <si>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</si>
  <si>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</si>
  <si>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</si>
  <si>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</si>
  <si>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</si>
  <si>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</si>
  <si>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</si>
  <si>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</si>
  <si>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</si>
  <si>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</si>
  <si>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</si>
  <si>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</si>
  <si>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</si>
  <si>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</si>
  <si>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</si>
  <si>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</si>
  <si>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</si>
  <si>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</si>
  <si>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</si>
  <si>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</si>
  <si>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</si>
  <si>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</si>
  <si>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</si>
  <si>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</si>
  <si>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</si>
  <si>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</si>
  <si>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</si>
  <si>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</si>
  <si>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</si>
  <si>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</si>
  <si>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</si>
  <si>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</si>
  <si>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</si>
  <si>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</si>
  <si>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</si>
  <si>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</si>
  <si>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</si>
  <si>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</si>
  <si>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</si>
  <si>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</si>
  <si>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</si>
  <si>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</si>
  <si>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</si>
  <si>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</si>
  <si>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</si>
  <si>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</si>
  <si>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</si>
  <si>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</si>
  <si>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</si>
  <si>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</si>
  <si>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</si>
  <si>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</si>
  <si>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</si>
  <si>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</si>
  <si>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</si>
  <si>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</si>
  <si>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</si>
  <si>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</si>
  <si>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</si>
  <si>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</si>
  <si>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</si>
  <si>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</si>
  <si>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</si>
  <si>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</si>
  <si>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</si>
  <si>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</si>
  <si>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</si>
  <si>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</si>
  <si>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</si>
  <si>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</si>
  <si>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</si>
  <si>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</si>
  <si>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</si>
  <si>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</si>
  <si>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</si>
  <si>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</si>
  <si>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</si>
  <si>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</si>
  <si>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</si>
  <si>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</si>
  <si>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</si>
  <si>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</si>
  <si>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</si>
  <si>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</si>
  <si>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</si>
  <si>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</si>
  <si>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</si>
  <si>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</si>
  <si>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</si>
  <si>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</si>
  <si>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</si>
  <si>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</si>
  <si>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</si>
  <si>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</si>
  <si>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</si>
  <si>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</si>
  <si>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</si>
  <si>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</si>
  <si>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</si>
  <si>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</si>
  <si>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</si>
  <si>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</si>
  <si>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</si>
  <si>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</si>
  <si>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</si>
  <si>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</si>
  <si>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</si>
  <si>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</si>
  <si>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</si>
  <si>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</si>
  <si>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</si>
  <si>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</si>
  <si>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</si>
  <si>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</si>
  <si>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</si>
  <si>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</si>
  <si>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</si>
  <si>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</si>
  <si>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</si>
  <si>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</si>
  <si>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</si>
  <si>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</si>
  <si>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</si>
  <si>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</si>
  <si>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</si>
  <si>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</si>
  <si>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</si>
  <si>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</si>
  <si>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</si>
  <si>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</si>
  <si>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</si>
  <si>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</si>
  <si>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</si>
  <si>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</si>
  <si>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</si>
  <si>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</si>
  <si>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</si>
  <si>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</si>
  <si>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</si>
  <si>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</si>
  <si>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</si>
  <si>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</si>
  <si>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</si>
  <si>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</si>
  <si>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</si>
  <si>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</si>
  <si>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</si>
  <si>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</si>
  <si>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</si>
  <si>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</si>
  <si>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</si>
  <si>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</si>
  <si>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</si>
  <si>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</si>
  <si>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</si>
  <si>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</si>
  <si>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</si>
  <si>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</si>
  <si>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</si>
  <si>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</si>
  <si>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</si>
  <si>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</si>
  <si>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</si>
  <si>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</si>
  <si>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</si>
  <si>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</si>
  <si>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</si>
  <si>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</si>
  <si>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</si>
  <si>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</si>
  <si>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</si>
  <si>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</si>
  <si>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</si>
  <si>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</si>
  <si>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</si>
  <si>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</si>
  <si>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</si>
  <si>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</si>
  <si>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</si>
  <si>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</si>
  <si>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</si>
  <si>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</si>
  <si>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</si>
  <si>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</si>
  <si>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</si>
  <si>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</si>
  <si>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</si>
  <si>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</si>
  <si>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</si>
  <si>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</si>
  <si>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</si>
  <si>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</si>
  <si>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</si>
  <si>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</si>
  <si>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</si>
  <si>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</si>
  <si>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</si>
  <si>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</si>
  <si>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</si>
  <si>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</si>
  <si>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</si>
  <si>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</si>
  <si>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</si>
  <si>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</si>
  <si>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</si>
  <si>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</si>
  <si>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</si>
  <si>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</si>
  <si>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</si>
  <si>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</si>
  <si>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</si>
  <si>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</si>
  <si>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</si>
  <si>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</si>
  <si>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</si>
  <si>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</si>
  <si>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</si>
  <si>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</si>
  <si>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</si>
  <si>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</si>
  <si>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</si>
  <si>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</si>
  <si>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</si>
  <si>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</si>
  <si>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</si>
  <si>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</si>
  <si>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</si>
  <si>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</si>
  <si>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</si>
  <si>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</si>
  <si>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</si>
  <si>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</si>
  <si>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</si>
  <si>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</si>
  <si>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</si>
  <si>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</si>
  <si>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</si>
  <si>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</si>
  <si>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</si>
  <si>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</si>
  <si>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</si>
  <si>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</si>
  <si>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</si>
  <si>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</si>
  <si>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</si>
  <si>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</si>
  <si>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</si>
  <si>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</si>
  <si>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</si>
  <si>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</si>
  <si>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</si>
  <si>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</si>
  <si>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</si>
  <si>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</si>
  <si>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</si>
  <si>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</si>
  <si>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</si>
  <si>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</si>
  <si>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</si>
  <si>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</si>
  <si>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</si>
  <si>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</si>
  <si>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</si>
  <si>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</si>
  <si>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</si>
  <si>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</si>
  <si>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</si>
  <si>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</si>
  <si>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</si>
  <si>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</si>
  <si>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</si>
  <si>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</si>
  <si>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</si>
  <si>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</si>
  <si>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</si>
  <si>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</si>
  <si>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</si>
  <si>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</si>
  <si>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</si>
  <si>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</si>
  <si>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</si>
  <si>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</si>
  <si>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</si>
  <si>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</si>
  <si>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</si>
  <si>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</si>
  <si>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</si>
  <si>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</si>
  <si>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</si>
  <si>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</si>
  <si>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</si>
  <si>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</si>
  <si>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</si>
  <si>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</si>
  <si>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</si>
  <si>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</si>
  <si>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</si>
  <si>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</si>
  <si>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</si>
  <si>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</si>
  <si>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</si>
  <si>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</si>
  <si>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</si>
  <si>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</si>
  <si>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</si>
  <si>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</si>
  <si>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</si>
  <si>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</si>
  <si>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</si>
  <si>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</si>
  <si>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</si>
  <si>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</si>
  <si>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</si>
  <si>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</si>
  <si>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</si>
  <si>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</si>
  <si>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</si>
  <si>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</si>
  <si>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</si>
  <si>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</si>
  <si>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</si>
  <si>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</si>
  <si>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</si>
  <si>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</si>
  <si>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</si>
  <si>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</si>
  <si>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</si>
  <si>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</si>
  <si>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</si>
  <si>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</si>
  <si>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</si>
  <si>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</si>
  <si>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</si>
  <si>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</si>
  <si>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</si>
  <si>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</si>
  <si>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</si>
  <si>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</si>
  <si>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</si>
  <si>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</si>
  <si>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</si>
  <si>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</si>
  <si>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</si>
  <si>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</si>
  <si>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</si>
  <si>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</si>
  <si>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</si>
  <si>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</si>
  <si>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</si>
  <si>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</si>
  <si>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</si>
  <si>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</si>
  <si>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</si>
  <si>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</si>
  <si>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</si>
  <si>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</si>
  <si>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</si>
  <si>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</si>
  <si>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</si>
  <si>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</si>
  <si>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</si>
  <si>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</si>
  <si>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</si>
  <si>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</si>
  <si>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</si>
  <si>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</si>
  <si>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</si>
  <si>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</si>
  <si>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</si>
  <si>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</si>
  <si>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</si>
  <si>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</si>
  <si>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</si>
  <si>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</si>
  <si>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</si>
  <si>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</si>
  <si>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</si>
  <si>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</si>
  <si>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</si>
  <si>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</si>
  <si>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</si>
  <si>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</si>
  <si>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</si>
  <si>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</si>
  <si>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</si>
  <si>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</si>
  <si>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</si>
  <si>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</si>
  <si>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</si>
  <si>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</si>
  <si>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</si>
  <si>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</si>
  <si>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</si>
  <si>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</si>
  <si>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</si>
  <si>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</si>
  <si>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</si>
  <si>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</si>
  <si>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</si>
  <si>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</si>
  <si>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</si>
  <si>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</si>
  <si>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</si>
  <si>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</si>
  <si>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</si>
  <si>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</si>
  <si>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</si>
  <si>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</si>
  <si>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</si>
  <si>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</si>
  <si>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</si>
  <si>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</si>
  <si>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</si>
  <si>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</si>
  <si>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</si>
  <si>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</si>
  <si>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</si>
  <si>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</si>
  <si>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</si>
  <si>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</si>
  <si>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</si>
  <si>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</si>
  <si>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</si>
  <si>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</si>
  <si>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</si>
  <si>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</si>
  <si>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</si>
  <si>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</si>
  <si>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</si>
  <si>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</si>
  <si>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</si>
  <si>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</si>
  <si>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</si>
  <si>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</si>
  <si>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</si>
  <si>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</si>
  <si>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</si>
  <si>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</si>
  <si>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</si>
  <si>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</si>
  <si>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</si>
  <si>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</si>
  <si>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</si>
  <si>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</si>
  <si>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</si>
  <si>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</si>
  <si>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</si>
  <si>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</si>
  <si>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</si>
  <si>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</si>
  <si>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</si>
  <si>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</si>
  <si>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</si>
  <si>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</si>
  <si>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</si>
  <si>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</si>
  <si>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</si>
  <si>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</si>
  <si>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</si>
  <si>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</si>
  <si>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</si>
  <si>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</si>
  <si>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</si>
  <si>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</si>
  <si>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</si>
  <si>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</si>
  <si>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</si>
  <si>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</si>
  <si>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</si>
  <si>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</si>
  <si>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</si>
  <si>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</si>
  <si>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</si>
  <si>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</si>
  <si>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</si>
  <si>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</si>
  <si>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</si>
  <si>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</si>
  <si>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</si>
  <si>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</si>
  <si>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</si>
  <si>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</si>
  <si>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</si>
  <si>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</si>
  <si>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</si>
  <si>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</si>
  <si>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</si>
  <si>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</si>
  <si>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</si>
  <si>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</si>
  <si>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</si>
  <si>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</si>
  <si>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</si>
  <si>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</si>
  <si>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</si>
  <si>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</si>
  <si>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</si>
  <si>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</si>
  <si>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</si>
  <si>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</si>
  <si>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</si>
  <si>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</si>
  <si>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</si>
  <si>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</si>
  <si>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</si>
  <si>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</si>
  <si>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</si>
  <si>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</si>
  <si>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</si>
  <si>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</si>
  <si>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</si>
  <si>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</si>
  <si>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</si>
  <si>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</si>
  <si>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</si>
  <si>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</si>
  <si>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</si>
  <si>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</si>
  <si>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</si>
  <si>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</si>
  <si>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</si>
  <si>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</si>
  <si>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</si>
  <si>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</si>
  <si>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</si>
  <si>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</si>
  <si>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</si>
  <si>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</si>
  <si>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</si>
  <si>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</si>
  <si>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</si>
  <si>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</si>
  <si>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</si>
  <si>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</si>
  <si>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</si>
  <si>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</si>
  <si>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</si>
  <si>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</si>
  <si>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</si>
  <si>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</si>
  <si>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</si>
  <si>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</si>
  <si>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</si>
  <si>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</si>
  <si>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</si>
  <si>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</si>
  <si>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</si>
  <si>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</si>
  <si>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</si>
  <si>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</si>
  <si>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</si>
  <si>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</si>
  <si>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</si>
  <si>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</si>
  <si>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</si>
  <si>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</si>
  <si>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</si>
  <si>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</si>
  <si>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</si>
  <si>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</si>
  <si>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</si>
  <si>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</si>
  <si>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</si>
  <si>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</si>
  <si>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</si>
  <si>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</si>
  <si>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</si>
  <si>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</si>
  <si>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</si>
  <si>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</si>
  <si>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</si>
  <si>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</si>
  <si>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</si>
  <si>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</si>
  <si>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</si>
  <si>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</si>
  <si>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</si>
  <si>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</si>
  <si>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</si>
  <si>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</si>
  <si>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</si>
  <si>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</si>
  <si>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</si>
  <si>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</si>
  <si>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</si>
  <si>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</si>
  <si>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</si>
  <si>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</si>
  <si>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</si>
  <si>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</si>
  <si>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</si>
  <si>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</si>
  <si>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</si>
  <si>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</si>
  <si>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</si>
  <si>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</si>
  <si>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</si>
  <si>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</si>
  <si>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</si>
  <si>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</si>
  <si>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</si>
  <si>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</si>
  <si>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</si>
  <si>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</si>
  <si>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</si>
  <si>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</si>
  <si>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</si>
  <si>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</si>
  <si>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</si>
  <si>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</si>
  <si>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</si>
  <si>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</si>
  <si>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</si>
  <si>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</si>
  <si>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</si>
  <si>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</si>
  <si>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</si>
  <si>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</si>
  <si>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</si>
  <si>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</si>
  <si>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</si>
  <si>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</si>
  <si>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</si>
  <si>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</si>
  <si>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</si>
  <si>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</si>
  <si>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</si>
  <si>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</si>
  <si>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</si>
  <si>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</si>
  <si>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</si>
  <si>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</si>
  <si>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</si>
  <si>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</si>
  <si>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</si>
  <si>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</si>
  <si>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</si>
  <si>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</si>
  <si>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</si>
  <si>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</si>
  <si>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</si>
  <si>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</si>
  <si>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</si>
  <si>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</si>
  <si>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</si>
  <si>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</si>
  <si>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</si>
  <si>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</si>
  <si>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</si>
  <si>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</si>
  <si>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</si>
  <si>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</si>
  <si>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</si>
  <si>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</si>
  <si>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</si>
  <si>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</si>
  <si>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</si>
  <si>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</si>
  <si>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</si>
  <si>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</si>
  <si>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</si>
  <si>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</si>
  <si>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</si>
  <si>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</si>
  <si>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</si>
  <si>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</si>
  <si>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</si>
  <si>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</si>
  <si>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</si>
  <si>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</si>
  <si>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</si>
  <si>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</si>
  <si>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</si>
  <si>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</si>
  <si>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</si>
  <si>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</si>
  <si>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</si>
  <si>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</si>
  <si>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</si>
  <si>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</si>
  <si>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</si>
  <si>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</si>
  <si>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</si>
  <si>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</si>
  <si>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</si>
  <si>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</si>
  <si>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</si>
  <si>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</si>
  <si>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</si>
  <si>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</si>
  <si>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</si>
  <si>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</si>
  <si>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</si>
  <si>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</si>
  <si>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</si>
  <si>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</si>
  <si>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</si>
  <si>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</si>
  <si>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</si>
  <si>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</si>
  <si>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</si>
  <si>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</si>
  <si>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</si>
  <si>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</si>
  <si>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</si>
  <si>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</si>
  <si>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</si>
  <si>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</si>
  <si>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</si>
  <si>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</si>
  <si>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</si>
  <si>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</si>
  <si>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</si>
  <si>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</si>
  <si>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</si>
  <si>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</si>
  <si>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</si>
  <si>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</si>
  <si>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</si>
  <si>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</si>
  <si>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</si>
  <si>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</si>
  <si>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</si>
  <si>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</si>
  <si>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</si>
  <si>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</si>
  <si>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</si>
  <si>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</si>
  <si>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</si>
  <si>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</si>
  <si>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</si>
  <si>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</si>
  <si>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</si>
  <si>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</si>
  <si>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</si>
  <si>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</si>
  <si>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</si>
  <si>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</si>
  <si>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</si>
  <si>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</si>
  <si>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</si>
  <si>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</si>
  <si>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</si>
  <si>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</si>
  <si>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</si>
  <si>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</si>
  <si>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</si>
  <si>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</si>
  <si>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</si>
  <si>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</si>
  <si>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</si>
  <si>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</si>
  <si>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</si>
  <si>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</si>
  <si>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</si>
  <si>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</si>
  <si>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</si>
  <si>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</si>
  <si>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</si>
  <si>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</si>
  <si>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</si>
  <si>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</si>
  <si>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</si>
  <si>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</si>
  <si>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</si>
  <si>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</si>
  <si>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</si>
  <si>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</si>
  <si>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</si>
  <si>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</si>
  <si>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</si>
  <si>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</si>
  <si>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</si>
  <si>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</si>
  <si>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</si>
  <si>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</si>
  <si>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</si>
  <si>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</si>
  <si>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</si>
  <si>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</si>
  <si>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</si>
  <si>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</si>
  <si>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</si>
  <si>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</si>
  <si>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</si>
  <si>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</si>
  <si>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</si>
  <si>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</si>
  <si>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</si>
  <si>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</si>
  <si>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</si>
  <si>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</si>
  <si>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</si>
  <si>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</si>
  <si>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</si>
  <si>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</si>
  <si>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</si>
  <si>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</si>
  <si>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</si>
  <si>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</si>
  <si>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</si>
  <si>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</si>
  <si>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</si>
  <si>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</si>
  <si>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</si>
  <si>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</si>
  <si>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</si>
  <si>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</si>
  <si>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</si>
  <si>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</si>
  <si>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</si>
  <si>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</si>
  <si>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</si>
  <si>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</si>
  <si>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</si>
  <si>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</si>
  <si>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</si>
  <si>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</si>
  <si>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</si>
  <si>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</si>
  <si>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</si>
  <si>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</si>
  <si>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</si>
  <si>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</si>
  <si>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</si>
  <si>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</si>
  <si>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</si>
  <si>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</si>
  <si>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</si>
  <si>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</si>
  <si>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</si>
  <si>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</si>
  <si>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</si>
  <si>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</si>
  <si>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</si>
  <si>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</si>
  <si>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</si>
  <si>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</si>
  <si>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</si>
  <si>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</si>
  <si>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</si>
  <si>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</si>
  <si>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</si>
  <si>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</si>
  <si>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</si>
  <si>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</si>
  <si>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</si>
  <si>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</si>
  <si>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</si>
  <si>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</si>
  <si>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</si>
  <si>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</si>
  <si>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</si>
  <si>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</si>
  <si>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</si>
  <si>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</si>
  <si>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</si>
  <si>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</si>
  <si>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</si>
  <si>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</si>
  <si>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</si>
  <si>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</si>
  <si>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</si>
  <si>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</si>
  <si>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</si>
  <si>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</si>
  <si>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</si>
  <si>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</si>
  <si>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</si>
  <si>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</si>
  <si>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</si>
  <si>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</si>
  <si>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</si>
  <si>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</si>
  <si>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</si>
  <si>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</si>
  <si>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</si>
  <si>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</si>
  <si>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</si>
  <si>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</si>
  <si>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</si>
  <si>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</si>
  <si>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</si>
  <si>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</si>
  <si>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</si>
  <si>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</si>
  <si>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</si>
  <si>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</si>
  <si>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</si>
  <si>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</si>
  <si>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</si>
  <si>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</si>
  <si>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</si>
  <si>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</si>
  <si>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</si>
  <si>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</si>
  <si>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</si>
  <si>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</si>
  <si>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</si>
  <si>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</si>
  <si>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</si>
  <si>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</si>
  <si>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</si>
  <si>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</si>
  <si>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</si>
  <si>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</si>
  <si>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</si>
  <si>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</si>
  <si>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</si>
  <si>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</si>
  <si>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</si>
  <si>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</si>
  <si>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</si>
  <si>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</si>
  <si>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</si>
  <si>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</si>
  <si>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</si>
  <si>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</si>
  <si>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</si>
  <si>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</si>
  <si>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</si>
  <si>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</si>
  <si>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</si>
  <si>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</si>
  <si>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</si>
  <si>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</si>
  <si>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</si>
  <si>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</si>
  <si>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</si>
  <si>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</si>
  <si>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</si>
  <si>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</si>
  <si>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</si>
  <si>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</si>
  <si>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</si>
  <si>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</si>
  <si>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</si>
  <si>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</si>
  <si>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</si>
  <si>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</si>
  <si>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</si>
  <si>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</si>
  <si>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</si>
  <si>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</si>
  <si>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</si>
  <si>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</si>
  <si>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</si>
  <si>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</si>
  <si>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</si>
  <si>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</si>
  <si>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</si>
  <si>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</si>
  <si>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</si>
  <si>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</si>
  <si>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</si>
  <si>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</si>
  <si>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</si>
  <si>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</si>
  <si>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</si>
  <si>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</si>
  <si>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</si>
  <si>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</si>
  <si>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</si>
  <si>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</si>
  <si>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</si>
  <si>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</si>
  <si>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</si>
  <si>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</si>
  <si>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</si>
  <si>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</si>
  <si>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</si>
  <si>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</si>
  <si>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</si>
  <si>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</si>
  <si>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</si>
  <si>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</si>
  <si>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</si>
  <si>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</si>
  <si>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</si>
  <si>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</si>
  <si>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</si>
  <si>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</si>
  <si>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</si>
  <si>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</si>
  <si>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</si>
  <si>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</si>
  <si>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</si>
  <si>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</si>
  <si>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</si>
  <si>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</si>
  <si>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</si>
  <si>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</si>
  <si>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</si>
  <si>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</si>
  <si>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</si>
  <si>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</si>
  <si>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</si>
  <si>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</si>
  <si>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</si>
  <si>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</si>
  <si>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</si>
  <si>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</si>
  <si>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</si>
  <si>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</si>
  <si>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</si>
  <si>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</si>
  <si>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</si>
  <si>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</si>
  <si>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</si>
  <si>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</si>
  <si>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</si>
  <si>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</si>
  <si>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</si>
  <si>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</si>
  <si>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</si>
  <si>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</si>
  <si>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</si>
  <si>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</si>
  <si>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</si>
  <si>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</si>
  <si>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</si>
  <si>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</si>
  <si>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</si>
  <si>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</si>
  <si>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</si>
  <si>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</si>
  <si>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</si>
  <si>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</si>
  <si>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</si>
  <si>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</si>
  <si>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</si>
  <si>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</si>
  <si>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</si>
  <si>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</si>
  <si>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</si>
  <si>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</si>
  <si>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</si>
  <si>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</si>
  <si>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</si>
  <si>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</si>
  <si>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</si>
  <si>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</si>
  <si>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</si>
  <si>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</si>
  <si>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</si>
  <si>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</si>
  <si>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</si>
  <si>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</si>
  <si>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</si>
  <si>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</si>
  <si>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</si>
  <si>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</si>
  <si>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</si>
  <si>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</si>
  <si>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</si>
  <si>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</si>
  <si>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</si>
  <si>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</si>
  <si>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</si>
  <si>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</si>
  <si>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</si>
  <si>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</si>
  <si>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</si>
  <si>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</si>
  <si>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</si>
  <si>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</si>
  <si>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</si>
  <si>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</si>
  <si>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</si>
  <si>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</si>
  <si>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</si>
  <si>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</si>
  <si>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</si>
  <si>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</si>
  <si>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</si>
  <si>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</si>
  <si>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</si>
  <si>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</si>
  <si>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</si>
  <si>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</si>
  <si>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</si>
  <si>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</si>
  <si>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</si>
  <si>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</si>
  <si>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</si>
  <si>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</si>
  <si>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</si>
  <si>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</si>
  <si>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</si>
  <si>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</si>
  <si>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</si>
  <si>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</si>
  <si>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</si>
  <si>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</si>
  <si>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</si>
  <si>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</si>
  <si>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</si>
  <si>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</si>
  <si>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</si>
  <si>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</si>
  <si>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</si>
  <si>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</si>
  <si>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</si>
  <si>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</si>
  <si>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</si>
  <si>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</si>
  <si>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</si>
  <si>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</si>
  <si>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</si>
  <si>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</si>
  <si>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</si>
  <si>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</si>
  <si>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</si>
  <si>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</si>
  <si>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</si>
  <si>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</si>
  <si>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</si>
  <si>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</si>
  <si>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</si>
  <si>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</si>
  <si>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</si>
  <si>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</si>
  <si>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</si>
  <si>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</si>
  <si>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</si>
  <si>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</si>
  <si>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</si>
  <si>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</si>
  <si>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</si>
  <si>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</si>
  <si>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</si>
  <si>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</si>
  <si>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</si>
  <si>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</si>
  <si>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</si>
  <si>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</si>
  <si>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</si>
  <si>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</si>
  <si>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</si>
  <si>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</si>
  <si>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</si>
  <si>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</si>
  <si>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</si>
  <si>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</si>
  <si>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</si>
  <si>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</si>
  <si>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</si>
  <si>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</si>
  <si>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</si>
  <si>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</si>
  <si>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</si>
  <si>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</si>
  <si>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</si>
  <si>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</si>
  <si>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</si>
  <si>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</si>
  <si>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</si>
  <si>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</si>
  <si>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</si>
  <si>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</si>
  <si>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</si>
  <si>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</si>
  <si>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</si>
  <si>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</si>
  <si>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</si>
  <si>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</si>
  <si>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</si>
  <si>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</si>
  <si>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</si>
  <si>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</si>
  <si>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</si>
  <si>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</si>
  <si>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</si>
  <si>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</si>
  <si>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</si>
  <si>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</si>
  <si>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</si>
  <si>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</si>
  <si>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</si>
  <si>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</si>
  <si>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</si>
  <si>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</si>
  <si>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</si>
  <si>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</si>
  <si>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</si>
  <si>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</si>
  <si>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</si>
  <si>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</si>
  <si>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</si>
  <si>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</si>
  <si>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</si>
  <si>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</si>
  <si>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</si>
  <si>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</si>
  <si>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</si>
  <si>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</si>
  <si>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</si>
  <si>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</si>
  <si>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</si>
  <si>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</si>
  <si>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</si>
  <si>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</si>
  <si>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</si>
  <si>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</si>
  <si>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</si>
  <si>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</si>
  <si>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</si>
  <si>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</si>
  <si>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</si>
  <si>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</si>
  <si>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</si>
  <si>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</si>
  <si>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</si>
  <si>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</si>
  <si>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</si>
  <si>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</si>
  <si>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</si>
  <si>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</si>
  <si>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</si>
  <si>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</si>
  <si>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</si>
  <si>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</si>
  <si>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</si>
  <si>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</si>
  <si>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</si>
  <si>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</si>
  <si>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</si>
  <si>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</si>
  <si>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</si>
  <si>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</si>
  <si>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</si>
  <si>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</si>
  <si>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</si>
  <si>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</si>
  <si>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</si>
  <si>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</si>
  <si>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</si>
  <si>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</si>
  <si>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</si>
  <si>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</si>
  <si>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</si>
  <si>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</si>
  <si>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</si>
  <si>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</si>
  <si>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</si>
  <si>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</si>
  <si>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</si>
  <si>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</si>
  <si>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</si>
  <si>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</si>
  <si>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</si>
  <si>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</si>
  <si>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</si>
  <si>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</si>
  <si>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</si>
  <si>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</si>
  <si>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</si>
  <si>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</si>
  <si>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</si>
  <si>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</si>
  <si>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</si>
  <si>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</si>
  <si>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</si>
  <si>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</si>
  <si>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</si>
  <si>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</si>
  <si>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</si>
  <si>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</si>
  <si>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</si>
  <si>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</si>
  <si>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</si>
  <si>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</si>
  <si>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</si>
  <si>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</si>
  <si>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</si>
  <si>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</si>
  <si>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</si>
  <si>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</si>
  <si>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</si>
  <si>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</si>
  <si>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</si>
  <si>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</si>
  <si>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</si>
  <si>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</si>
  <si>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</si>
  <si>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</si>
  <si>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</si>
  <si>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</si>
  <si>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</si>
  <si>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</si>
  <si>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</si>
  <si>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</si>
  <si>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</si>
  <si>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</si>
  <si>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</si>
  <si>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</si>
  <si>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</si>
  <si>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</si>
  <si>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</si>
  <si>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</si>
  <si>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</si>
  <si>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</si>
  <si>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</si>
  <si>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</si>
  <si>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</si>
  <si>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</si>
  <si>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</si>
  <si>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</si>
  <si>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</si>
  <si>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</si>
  <si>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</si>
  <si>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</si>
  <si>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</si>
  <si>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</si>
  <si>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</si>
  <si>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</si>
  <si>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</si>
  <si>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</si>
  <si>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</si>
  <si>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</si>
  <si>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</si>
  <si>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</si>
  <si>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</si>
  <si>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</si>
  <si>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</si>
  <si>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</si>
  <si>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</si>
  <si>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</si>
  <si>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</si>
  <si>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</si>
  <si>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</si>
  <si>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</si>
  <si>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</si>
  <si>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</si>
  <si>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</si>
  <si>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</si>
  <si>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</si>
  <si>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</si>
  <si>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</si>
  <si>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</si>
  <si>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</si>
  <si>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</si>
  <si>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</si>
  <si>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</si>
  <si>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</si>
  <si>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</si>
  <si>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</si>
  <si>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</si>
  <si>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</si>
  <si>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</si>
  <si>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</si>
  <si>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</si>
  <si>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</si>
  <si>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</si>
  <si>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</si>
  <si>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</si>
  <si>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</si>
  <si>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</si>
  <si>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</si>
  <si>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</si>
  <si>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</si>
  <si>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</si>
  <si>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</si>
  <si>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</si>
  <si>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</si>
  <si>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</si>
  <si>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</si>
  <si>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</si>
  <si>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</si>
  <si>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</si>
  <si>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</si>
  <si>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</si>
  <si>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</si>
  <si>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</si>
  <si>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</si>
  <si>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</si>
  <si>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</si>
  <si>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</si>
  <si>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</si>
  <si>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</si>
  <si>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</si>
  <si>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</si>
  <si>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</si>
  <si>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</si>
  <si>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</si>
  <si>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</si>
  <si>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</si>
  <si>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</si>
  <si>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</si>
  <si>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</si>
  <si>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</si>
  <si>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</si>
  <si>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</si>
  <si>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</si>
  <si>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</si>
  <si>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</si>
  <si>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</si>
  <si>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</si>
  <si>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</si>
  <si>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</si>
  <si>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</si>
  <si>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</si>
  <si>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</si>
  <si>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</si>
  <si>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</si>
  <si>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</si>
  <si>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</si>
  <si>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</si>
  <si>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</si>
  <si>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</si>
  <si>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</si>
  <si>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</si>
  <si>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</si>
  <si>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</si>
  <si>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</si>
  <si>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</si>
  <si>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</si>
  <si>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</si>
  <si>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</si>
  <si>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</si>
  <si>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</si>
  <si>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</si>
  <si>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</si>
  <si>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</si>
  <si>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</si>
  <si>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</si>
  <si>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</si>
  <si>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</si>
  <si>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</si>
  <si>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</si>
  <si>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</si>
  <si>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</si>
  <si>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</si>
  <si>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</si>
  <si>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</si>
  <si>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</si>
  <si>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</si>
  <si>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</si>
  <si>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</si>
  <si>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</si>
  <si>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</si>
  <si>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</si>
  <si>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</si>
  <si>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</si>
  <si>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</si>
  <si>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</si>
  <si>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</si>
  <si>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</si>
  <si>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</si>
  <si>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</si>
  <si>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</si>
  <si>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</si>
  <si>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</si>
  <si>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</si>
  <si>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</si>
  <si>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</si>
  <si>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</si>
  <si>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</si>
  <si>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</si>
  <si>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</si>
  <si>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</si>
  <si>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</si>
  <si>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</si>
  <si>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</si>
  <si>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</si>
  <si>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</si>
  <si>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</si>
  <si>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</si>
  <si>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</si>
  <si>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</si>
  <si>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</si>
  <si>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</si>
  <si>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</si>
  <si>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</si>
  <si>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</si>
  <si>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</si>
  <si>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</si>
  <si>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</si>
  <si>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</si>
  <si>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</si>
  <si>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</si>
  <si>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</si>
  <si>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</si>
  <si>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</si>
  <si>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</si>
  <si>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</si>
  <si>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</si>
  <si>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</si>
  <si>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</si>
  <si>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</si>
  <si>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</si>
  <si>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</si>
  <si>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</si>
  <si>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</si>
  <si>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</si>
  <si>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</si>
  <si>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</si>
  <si>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</si>
  <si>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</si>
  <si>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</si>
  <si>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</si>
  <si>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</si>
  <si>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</si>
  <si>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</si>
  <si>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</si>
  <si>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</si>
  <si>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</si>
  <si>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</si>
  <si>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</si>
  <si>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</si>
  <si>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</si>
  <si>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</si>
  <si>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</si>
  <si>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</si>
  <si>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</si>
  <si>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</si>
  <si>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</si>
  <si>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</si>
  <si>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</si>
  <si>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</si>
  <si>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</si>
  <si>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</si>
  <si>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</si>
  <si>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</si>
  <si>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</si>
  <si>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</si>
  <si>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</si>
  <si>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</si>
  <si>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</si>
  <si>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</si>
  <si>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</si>
  <si>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</si>
  <si>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</si>
  <si>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</si>
  <si>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</si>
  <si>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</si>
  <si>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</si>
  <si>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</si>
  <si>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</si>
  <si>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</si>
  <si>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</si>
  <si>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</si>
  <si>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</si>
  <si>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</si>
  <si>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</si>
  <si>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</si>
  <si>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</si>
  <si>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</si>
  <si>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</si>
  <si>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</si>
  <si>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</si>
  <si>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</si>
  <si>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</si>
  <si>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</si>
  <si>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</si>
  <si>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</si>
  <si>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</si>
  <si>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</si>
  <si>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</si>
  <si>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</si>
  <si>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</si>
  <si>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</si>
  <si>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</si>
  <si>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</si>
  <si>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</si>
  <si>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</si>
  <si>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</si>
  <si>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</si>
  <si>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</si>
  <si>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</si>
  <si>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</si>
  <si>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</si>
  <si>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</si>
  <si>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</si>
  <si>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</si>
  <si>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</si>
  <si>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</si>
  <si>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</si>
  <si>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</si>
  <si>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</si>
  <si>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</si>
  <si>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</si>
  <si>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</si>
  <si>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</si>
  <si>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</si>
  <si>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</si>
  <si>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</si>
  <si>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</si>
  <si>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</si>
  <si>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</si>
  <si>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</si>
  <si>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</si>
  <si>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</si>
  <si>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</si>
  <si>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</si>
  <si>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</si>
  <si>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</si>
  <si>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</si>
  <si>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</si>
  <si>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</si>
  <si>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</si>
  <si>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</si>
  <si>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</si>
  <si>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</si>
  <si>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</si>
  <si>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</si>
  <si>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</si>
  <si>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</si>
  <si>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</si>
  <si>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</si>
  <si>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</si>
  <si>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</si>
  <si>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</si>
  <si>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</si>
  <si>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</si>
  <si>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</si>
  <si>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</si>
  <si>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</si>
  <si>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</si>
  <si>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</si>
  <si>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</si>
  <si>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</si>
  <si>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</si>
  <si>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</si>
  <si>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</si>
  <si>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</si>
  <si>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</si>
  <si>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</si>
  <si>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</si>
  <si>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</si>
  <si>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</si>
  <si>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</si>
  <si>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</si>
  <si>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</si>
  <si>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</si>
  <si>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</si>
  <si>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</si>
  <si>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</si>
  <si>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</si>
  <si>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</si>
  <si>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</si>
  <si>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</si>
  <si>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</si>
  <si>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</si>
  <si>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</si>
  <si>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</si>
  <si>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</si>
  <si>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</si>
  <si>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</si>
  <si>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</si>
  <si>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</si>
  <si>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</si>
  <si>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</si>
  <si>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</si>
  <si>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</si>
  <si>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</si>
  <si>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</si>
  <si>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</si>
  <si>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</si>
  <si>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</si>
  <si>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</si>
  <si>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</si>
  <si>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</si>
  <si>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</si>
  <si>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</si>
  <si>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</si>
  <si>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</si>
  <si>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</si>
  <si>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</si>
  <si>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</si>
  <si>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</si>
  <si>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</si>
  <si>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</si>
  <si>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</si>
  <si>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</si>
  <si>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</si>
  <si>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</si>
  <si>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</si>
  <si>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</si>
  <si>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</si>
  <si>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</si>
  <si>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</si>
  <si>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</si>
  <si>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</si>
  <si>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</si>
  <si>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</si>
  <si>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</si>
  <si>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</si>
  <si>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</si>
  <si>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</si>
  <si>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</si>
  <si>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</si>
  <si>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</si>
  <si>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</si>
  <si>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</si>
  <si>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</si>
  <si>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</si>
  <si>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</si>
  <si>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</si>
  <si>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</si>
  <si>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</si>
  <si>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</si>
  <si>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</si>
  <si>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</si>
  <si>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</si>
  <si>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</si>
  <si>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</si>
  <si>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</si>
  <si>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</si>
  <si>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</si>
  <si>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</si>
  <si>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</si>
  <si>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</si>
  <si>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</si>
  <si>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</si>
  <si>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</si>
  <si>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</si>
  <si>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</si>
  <si>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</si>
  <si>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</si>
  <si>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</si>
  <si>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</si>
  <si>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</si>
  <si>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</si>
  <si>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</si>
  <si>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</si>
  <si>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</si>
  <si>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</si>
  <si>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</si>
  <si>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</si>
  <si>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</si>
  <si>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</si>
  <si>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</si>
  <si>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</si>
  <si>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</si>
  <si>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</si>
  <si>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</si>
  <si>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</si>
  <si>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</si>
  <si>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</si>
  <si>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</si>
  <si>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</si>
  <si>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</si>
  <si>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</si>
  <si>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</si>
  <si>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</si>
  <si>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</si>
  <si>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</si>
  <si>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</si>
  <si>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</si>
  <si>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</si>
  <si>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</si>
  <si>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</si>
  <si>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</si>
  <si>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</si>
  <si>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</si>
  <si>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</si>
  <si>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</si>
  <si>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</si>
  <si>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</si>
  <si>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</si>
  <si>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</si>
  <si>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</si>
  <si>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</si>
  <si>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</si>
  <si>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</si>
  <si>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</si>
  <si>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</si>
  <si>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</si>
  <si>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</si>
  <si>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</si>
  <si>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</si>
  <si>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</si>
  <si>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</si>
  <si>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</si>
  <si>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</si>
  <si>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</si>
  <si>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</si>
  <si>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</si>
  <si>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</si>
  <si>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</si>
  <si>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</si>
  <si>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</si>
  <si>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</si>
  <si>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</si>
  <si>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</si>
  <si>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</si>
  <si>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</si>
  <si>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</si>
  <si>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</si>
  <si>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</si>
  <si>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</si>
  <si>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</si>
  <si>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</si>
  <si>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</si>
  <si>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</si>
  <si>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</si>
  <si>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</si>
  <si>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</si>
  <si>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</si>
  <si>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</si>
  <si>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</si>
  <si>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</si>
  <si>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</si>
  <si>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</si>
  <si>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</si>
  <si>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</si>
  <si>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</si>
  <si>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</si>
  <si>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</si>
  <si>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</si>
  <si>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</si>
  <si>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</si>
  <si>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</si>
  <si>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</si>
  <si>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</si>
  <si>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</si>
  <si>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</si>
  <si>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</si>
  <si>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</si>
  <si>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</si>
  <si>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</si>
  <si>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</si>
  <si>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</si>
  <si>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</si>
  <si>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</si>
  <si>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</si>
  <si>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</si>
  <si>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</si>
  <si>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</si>
  <si>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</si>
  <si>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</si>
  <si>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</si>
  <si>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</si>
  <si>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</si>
  <si>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</si>
  <si>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</si>
  <si>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</si>
  <si>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</si>
  <si>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</si>
  <si>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</si>
  <si>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</si>
  <si>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</si>
  <si>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</si>
  <si>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</si>
  <si>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</si>
  <si>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</si>
  <si>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</si>
  <si>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</si>
  <si>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</si>
  <si>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</si>
  <si>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</si>
  <si>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</si>
  <si>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</si>
  <si>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</si>
  <si>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</si>
  <si>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</si>
  <si>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</si>
  <si>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</si>
  <si>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</si>
  <si>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</si>
  <si>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</si>
  <si>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</si>
  <si>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</si>
  <si>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</si>
  <si>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</si>
  <si>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</si>
  <si>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</si>
  <si>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</si>
  <si>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</si>
  <si>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</si>
  <si>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</si>
  <si>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</si>
  <si>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</si>
  <si>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</si>
  <si>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</si>
  <si>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</si>
  <si>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</si>
  <si>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</si>
  <si>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</si>
  <si>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</si>
  <si>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</si>
  <si>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</si>
  <si>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</si>
  <si>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</si>
  <si>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</si>
  <si>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</si>
  <si>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</si>
  <si>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</si>
  <si>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</si>
  <si>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</si>
  <si>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</si>
  <si>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</si>
  <si>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</si>
  <si>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</si>
  <si>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</si>
  <si>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</si>
  <si>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</si>
  <si>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</si>
  <si>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</si>
  <si>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</si>
  <si>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</si>
  <si>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</si>
  <si>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</si>
  <si>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</si>
  <si>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</si>
  <si>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</si>
  <si>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</si>
  <si>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</si>
  <si>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</si>
  <si>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</si>
  <si>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</si>
  <si>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</si>
  <si>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</si>
  <si>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</si>
  <si>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</si>
  <si>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</si>
  <si>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</si>
  <si>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</si>
  <si>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</si>
  <si>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</si>
  <si>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</si>
  <si>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</si>
  <si>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</si>
  <si>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</si>
  <si>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</si>
  <si>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</si>
  <si>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</si>
  <si>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</si>
  <si>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</si>
  <si>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</si>
  <si>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</si>
  <si>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</si>
  <si>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</si>
  <si>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</si>
  <si>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</si>
  <si>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</si>
  <si>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</si>
  <si>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</si>
  <si>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</si>
  <si>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</si>
  <si>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</si>
  <si>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</si>
  <si>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</si>
  <si>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</si>
  <si>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</si>
  <si>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</si>
  <si>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</si>
  <si>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</si>
  <si>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</si>
  <si>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</si>
  <si>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</si>
  <si>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</si>
  <si>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</si>
  <si>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</si>
  <si>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</si>
  <si>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</si>
  <si>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</si>
  <si>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</si>
  <si>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</si>
  <si>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</si>
  <si>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</si>
  <si>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</si>
  <si>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</si>
  <si>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</si>
  <si>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</si>
  <si>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</si>
  <si>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</si>
  <si>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</si>
  <si>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</si>
  <si>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</si>
  <si>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</si>
  <si>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</si>
  <si>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</si>
  <si>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</si>
  <si>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</si>
  <si>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</si>
  <si>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</si>
  <si>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</si>
  <si>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</si>
  <si>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</si>
  <si>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</si>
  <si>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</si>
  <si>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</si>
  <si>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</si>
  <si>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</si>
  <si>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</si>
  <si>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</si>
  <si>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</si>
  <si>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</si>
  <si>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</si>
  <si>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</si>
  <si>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</si>
  <si>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</si>
  <si>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</si>
  <si>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</si>
  <si>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</si>
  <si>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</si>
  <si>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</si>
  <si>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</si>
  <si>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</si>
  <si>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</si>
  <si>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</si>
  <si>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</si>
  <si>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</si>
  <si>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</si>
  <si>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</si>
  <si>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</si>
  <si>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</si>
  <si>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</si>
  <si>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</si>
  <si>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</si>
  <si>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</si>
  <si>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</si>
  <si>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</si>
  <si>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</si>
  <si>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</si>
  <si>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</si>
  <si>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</si>
  <si>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</si>
  <si>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</si>
  <si>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</si>
  <si>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</si>
  <si>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</si>
  <si>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</si>
  <si>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</si>
  <si>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</si>
  <si>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</si>
  <si>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</si>
  <si>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</si>
  <si>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</si>
  <si>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</si>
  <si>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</si>
  <si>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</si>
  <si>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</si>
  <si>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</si>
  <si>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</si>
  <si>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</si>
  <si>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</si>
  <si>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</si>
  <si>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</si>
  <si>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</si>
  <si>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</si>
  <si>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</si>
  <si>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</si>
  <si>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</si>
  <si>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</si>
  <si>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</si>
  <si>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</si>
  <si>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</si>
  <si>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</si>
  <si>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</si>
  <si>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</si>
  <si>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</si>
  <si>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</si>
  <si>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</si>
  <si>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</si>
  <si>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</si>
  <si>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</si>
  <si>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</si>
  <si>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</si>
  <si>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</si>
  <si>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</si>
  <si>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</si>
  <si>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</si>
  <si>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</si>
  <si>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</si>
  <si>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</si>
  <si>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</si>
  <si>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</si>
  <si>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</si>
  <si>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</si>
  <si>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</si>
  <si>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</si>
  <si>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</si>
  <si>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</si>
  <si>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</si>
  <si>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</si>
  <si>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</si>
  <si>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</si>
  <si>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</si>
  <si>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</si>
  <si>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</si>
  <si>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</si>
  <si>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</si>
  <si>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</si>
  <si>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</si>
  <si>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</si>
  <si>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</si>
  <si>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</si>
  <si>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</si>
  <si>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</si>
  <si>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</si>
  <si>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</si>
  <si>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</si>
  <si>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</si>
  <si>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</si>
  <si>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</si>
  <si>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</si>
  <si>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</si>
  <si>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</si>
  <si>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</si>
  <si>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</si>
  <si>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</si>
  <si>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</si>
  <si>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</si>
  <si>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</si>
  <si>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</si>
  <si>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</si>
  <si>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</si>
  <si>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</si>
  <si>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</si>
  <si>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</si>
  <si>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</si>
  <si>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</si>
  <si>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</si>
  <si>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</si>
  <si>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</si>
  <si>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</si>
  <si>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</si>
  <si>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</si>
  <si>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</si>
  <si>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</si>
  <si>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</si>
  <si>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</si>
  <si>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</si>
  <si>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</si>
  <si>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</si>
  <si>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</si>
  <si>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</si>
  <si>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</si>
  <si>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</si>
  <si>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</si>
  <si>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</si>
  <si>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</si>
  <si>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</si>
  <si>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</si>
  <si>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</si>
  <si>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</si>
  <si>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</si>
  <si>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</si>
  <si>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</si>
  <si>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</si>
  <si>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</si>
  <si>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</si>
  <si>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</si>
  <si>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</si>
  <si>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</si>
  <si>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</si>
  <si>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</si>
  <si>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</si>
  <si>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</si>
  <si>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</si>
  <si>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</si>
  <si>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</si>
  <si>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</si>
  <si>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</si>
  <si>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</si>
  <si>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</si>
  <si>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</si>
  <si>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</si>
  <si>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</si>
  <si>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</si>
  <si>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</si>
  <si>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</si>
  <si>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</si>
  <si>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</si>
  <si>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</si>
  <si>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</si>
  <si>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</si>
  <si>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</si>
  <si>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</si>
  <si>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</si>
  <si>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</si>
  <si>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</si>
  <si>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</si>
  <si>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</si>
  <si>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</si>
  <si>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</si>
  <si>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</si>
  <si>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</si>
  <si>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</si>
  <si>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</si>
  <si>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</si>
  <si>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</si>
  <si>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</si>
  <si>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</si>
  <si>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</si>
  <si>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</si>
  <si>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</si>
  <si>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</si>
  <si>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</si>
  <si>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</si>
  <si>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</si>
  <si>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</si>
  <si>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</si>
  <si>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</si>
  <si>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</si>
  <si>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</si>
  <si>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</si>
  <si>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</si>
  <si>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</si>
  <si>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</si>
  <si>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</si>
  <si>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</si>
  <si>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</si>
  <si>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</si>
  <si>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</si>
  <si>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</si>
  <si>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</si>
  <si>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</si>
  <si>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</si>
  <si>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</si>
  <si>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</si>
  <si>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</si>
  <si>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</si>
  <si>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</si>
  <si>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</si>
  <si>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</si>
  <si>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</si>
  <si>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</si>
  <si>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</si>
  <si>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</si>
  <si>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</si>
  <si>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</si>
  <si>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</si>
  <si>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</si>
  <si>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</si>
  <si>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</si>
  <si>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</si>
  <si>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</si>
  <si>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</si>
  <si>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</si>
  <si>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</si>
  <si>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</si>
  <si>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</si>
  <si>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</si>
  <si>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</si>
  <si>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</si>
  <si>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</si>
  <si>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</si>
  <si>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</si>
  <si>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</si>
  <si>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</si>
  <si>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</si>
  <si>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</si>
  <si>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</si>
  <si>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</si>
  <si>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</si>
  <si>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</si>
  <si>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</si>
  <si>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</si>
  <si>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</si>
  <si>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</si>
  <si>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</si>
  <si>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</si>
  <si>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</si>
  <si>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</si>
  <si>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</si>
  <si>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</si>
  <si>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</si>
  <si>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</si>
  <si>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</si>
  <si>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</si>
  <si>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</si>
  <si>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</si>
  <si>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</si>
  <si>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</si>
  <si>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</si>
  <si>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</si>
  <si>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</si>
  <si>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</si>
  <si>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</si>
  <si>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</si>
  <si>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</si>
  <si>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</si>
  <si>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</si>
  <si>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</si>
  <si>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</si>
  <si>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</si>
  <si>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</si>
  <si>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</si>
  <si>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</si>
  <si>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</si>
  <si>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</si>
  <si>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</si>
  <si>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</si>
  <si>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</si>
  <si>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</si>
  <si>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</si>
  <si>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</si>
  <si>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</si>
  <si>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</si>
  <si>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</si>
  <si>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</si>
  <si>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</si>
  <si>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</si>
  <si>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</si>
  <si>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</si>
  <si>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</si>
  <si>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</si>
  <si>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</si>
  <si>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</si>
  <si>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</si>
  <si>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</si>
  <si>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</si>
  <si>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</si>
  <si>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</si>
  <si>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</si>
  <si>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</si>
  <si>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</si>
  <si>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</si>
  <si>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</si>
  <si>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</si>
  <si>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</si>
  <si>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</si>
  <si>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</si>
  <si>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</si>
  <si>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</si>
  <si>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</si>
  <si>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</si>
  <si>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</si>
  <si>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</si>
  <si>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</si>
  <si>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</si>
  <si>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</si>
  <si>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</si>
  <si>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</si>
  <si>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</si>
  <si>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</si>
  <si>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</si>
  <si>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</si>
  <si>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</si>
  <si>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</si>
  <si>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</si>
  <si>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</si>
  <si>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</si>
  <si>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</si>
  <si>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</si>
  <si>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</si>
  <si>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</si>
  <si>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</si>
  <si>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</si>
  <si>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</si>
  <si>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</si>
  <si>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</si>
  <si>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</si>
  <si>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</si>
  <si>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</si>
  <si>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</si>
  <si>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</si>
  <si>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</si>
  <si>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</si>
  <si>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</si>
  <si>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</si>
  <si>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</si>
  <si>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</si>
  <si>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</si>
  <si>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</si>
  <si>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</si>
  <si>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</si>
  <si>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</si>
  <si>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</si>
  <si>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</si>
  <si>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</si>
  <si>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</si>
  <si>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</si>
  <si>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</si>
  <si>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</si>
  <si>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</si>
  <si>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</si>
  <si>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</si>
  <si>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</si>
  <si>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</si>
  <si>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</si>
  <si>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</si>
  <si>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</si>
  <si>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</si>
  <si>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</si>
  <si>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</si>
  <si>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</si>
  <si>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</si>
  <si>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</si>
  <si>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</si>
  <si>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</si>
  <si>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</si>
  <si>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</si>
  <si>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</si>
  <si>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</si>
  <si>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</si>
  <si>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</si>
  <si>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</si>
  <si>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</si>
  <si>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</si>
  <si>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</si>
  <si>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</si>
  <si>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</si>
  <si>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</si>
  <si>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</si>
  <si>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</si>
  <si>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</si>
  <si>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</si>
  <si>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</si>
  <si>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</si>
  <si>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</si>
  <si>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</si>
  <si>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</si>
  <si>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</si>
  <si>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</si>
  <si>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</si>
  <si>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</si>
  <si>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</si>
  <si>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</si>
  <si>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</si>
  <si>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</si>
  <si>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</si>
  <si>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</si>
  <si>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</si>
  <si>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</si>
  <si>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</si>
  <si>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</si>
  <si>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</si>
  <si>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</si>
  <si>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</si>
  <si>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</si>
  <si>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</si>
  <si>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</si>
  <si>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</si>
  <si>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</si>
  <si>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</si>
  <si>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</si>
  <si>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</si>
  <si>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</si>
  <si>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</si>
  <si>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</si>
  <si>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</si>
  <si>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</si>
  <si>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</si>
  <si>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</si>
  <si>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</si>
  <si>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</si>
  <si>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</si>
  <si>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</si>
  <si>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</si>
  <si>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</si>
  <si>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</si>
  <si>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</si>
  <si>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</si>
  <si>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</si>
  <si>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</si>
  <si>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</si>
  <si>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</si>
  <si>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</si>
  <si>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</si>
  <si>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</si>
  <si>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</si>
  <si>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</si>
  <si>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</si>
  <si>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</si>
  <si>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</si>
  <si>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</si>
  <si>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</si>
  <si>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</si>
  <si>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</si>
  <si>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</si>
  <si>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</si>
  <si>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</si>
  <si>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</si>
  <si>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</si>
  <si>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</si>
  <si>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</si>
  <si>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</si>
  <si>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</si>
  <si>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</si>
  <si>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</si>
  <si>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</si>
  <si>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</si>
  <si>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</si>
  <si>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</si>
  <si>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</si>
  <si>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</si>
  <si>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</si>
  <si>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</si>
  <si>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</si>
  <si>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</si>
  <si>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</si>
  <si>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</si>
  <si>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</si>
  <si>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</si>
  <si>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</si>
  <si>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</si>
  <si>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</si>
  <si>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</si>
  <si>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</si>
  <si>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</si>
  <si>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</si>
  <si>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</si>
  <si>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</si>
  <si>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</si>
  <si>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</si>
  <si>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</si>
  <si>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</si>
  <si>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</si>
  <si>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</si>
  <si>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</si>
  <si>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</si>
  <si>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</si>
  <si>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</si>
  <si>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</si>
  <si>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</si>
  <si>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</si>
  <si>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</si>
  <si>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</si>
  <si>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</si>
  <si>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</si>
  <si>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</si>
  <si>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</si>
  <si>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</si>
  <si>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</si>
  <si>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</si>
  <si>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</si>
  <si>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</si>
  <si>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</si>
  <si>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</si>
  <si>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</si>
  <si>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</si>
  <si>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</si>
  <si>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</si>
  <si>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</si>
  <si>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</si>
  <si>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</si>
  <si>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</si>
  <si>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</si>
  <si>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</si>
  <si>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</si>
  <si>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</si>
  <si>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</si>
  <si>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</si>
  <si>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</si>
  <si>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</si>
  <si>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</si>
  <si>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</si>
  <si>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</si>
  <si>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</si>
  <si>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</si>
  <si>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</si>
  <si>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</si>
  <si>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</si>
  <si>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</si>
  <si>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</si>
  <si>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</si>
  <si>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</si>
  <si>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</si>
  <si>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</si>
  <si>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</si>
  <si>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</si>
  <si>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</si>
  <si>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</si>
  <si>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</si>
  <si>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</si>
  <si>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</si>
  <si>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</si>
  <si>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</si>
  <si>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</si>
  <si>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</si>
  <si>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</si>
  <si>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</si>
  <si>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</si>
  <si>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</si>
  <si>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</si>
  <si>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</si>
  <si>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</si>
  <si>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</si>
  <si>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</si>
  <si>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</si>
  <si>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</si>
  <si>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</si>
  <si>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</si>
  <si>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</si>
  <si>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</si>
  <si>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</si>
  <si>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</si>
  <si>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</si>
  <si>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</si>
  <si>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</si>
  <si>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</si>
  <si>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</si>
  <si>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</si>
  <si>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</si>
  <si>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</si>
  <si>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</si>
  <si>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</si>
  <si>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</si>
  <si>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</si>
  <si>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</si>
  <si>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</si>
  <si>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</si>
  <si>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</si>
  <si>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</si>
  <si>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</si>
  <si>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</si>
  <si>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</si>
  <si>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</si>
  <si>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</si>
  <si>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</si>
  <si>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</si>
  <si>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</si>
  <si>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</si>
  <si>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</si>
  <si>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</si>
  <si>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</si>
  <si>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</si>
  <si>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</si>
  <si>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</si>
  <si>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</si>
  <si>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</si>
  <si>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</si>
  <si>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</si>
  <si>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</si>
  <si>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</si>
  <si>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</si>
  <si>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</si>
  <si>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</si>
  <si>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</si>
  <si>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</si>
  <si>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</si>
  <si>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</si>
  <si>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</si>
  <si>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</si>
  <si>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</si>
  <si>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</si>
  <si>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</si>
  <si>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</si>
  <si>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</si>
  <si>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</si>
  <si>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</si>
  <si>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</si>
  <si>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</si>
  <si>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</si>
  <si>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</si>
  <si>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</si>
  <si>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</si>
  <si>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</si>
  <si>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</si>
  <si>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</si>
  <si>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</si>
  <si>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</si>
  <si>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</si>
  <si>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</si>
  <si>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</si>
  <si>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</si>
  <si>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</si>
  <si>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</si>
  <si>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</si>
  <si>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</si>
  <si>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</si>
  <si>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</si>
  <si>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</si>
  <si>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</si>
  <si>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</si>
  <si>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</si>
  <si>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</si>
  <si>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</si>
  <si>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</si>
  <si>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</si>
  <si>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</si>
  <si>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</si>
  <si>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</si>
  <si>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</si>
  <si>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</si>
  <si>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</si>
  <si>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</si>
  <si>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</si>
  <si>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</si>
  <si>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</si>
  <si>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</si>
  <si>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</si>
  <si>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</si>
  <si>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</si>
  <si>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</si>
  <si>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</si>
  <si>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</si>
  <si>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</si>
  <si>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</si>
  <si>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</si>
  <si>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</si>
  <si>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</si>
  <si>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</si>
  <si>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</si>
  <si>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</si>
  <si>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</si>
  <si>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</si>
  <si>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</si>
  <si>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</si>
  <si>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</si>
  <si>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</si>
  <si>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</si>
  <si>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</si>
  <si>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</si>
  <si>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</si>
  <si>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</si>
  <si>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</si>
  <si>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</si>
  <si>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</si>
  <si>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</si>
  <si>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</si>
  <si>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</si>
  <si>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</si>
  <si>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</si>
  <si>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</si>
  <si>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</si>
  <si>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</si>
  <si>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</si>
  <si>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</si>
  <si>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</si>
  <si>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</si>
  <si>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</si>
  <si>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</si>
  <si>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</si>
  <si>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</si>
  <si>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</si>
  <si>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</si>
  <si>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</si>
  <si>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</si>
  <si>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</si>
  <si>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</si>
  <si>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</si>
  <si>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</si>
  <si>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</si>
  <si>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</si>
  <si>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</si>
  <si>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</si>
  <si>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</si>
  <si>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</si>
  <si>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</si>
  <si>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</si>
  <si>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</si>
  <si>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</si>
  <si>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</si>
  <si>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</si>
  <si>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</si>
  <si>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</si>
  <si>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</si>
  <si>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</si>
  <si>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</si>
  <si>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</si>
  <si>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</si>
  <si>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</si>
  <si>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</si>
  <si>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</si>
  <si>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</si>
  <si>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</si>
  <si>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</si>
  <si>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</si>
  <si>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</si>
  <si>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</si>
  <si>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</si>
  <si>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</si>
  <si>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</si>
  <si>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</si>
  <si>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</si>
  <si>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</si>
  <si>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</si>
  <si>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</si>
  <si>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</si>
  <si>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</si>
  <si>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</si>
  <si>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</si>
  <si>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</si>
  <si>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</si>
  <si>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</si>
  <si>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</si>
  <si>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</si>
  <si>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</si>
  <si>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</si>
  <si>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</si>
  <si>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</si>
  <si>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</si>
  <si>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</si>
  <si>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</si>
  <si>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</si>
  <si>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</si>
  <si>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</si>
  <si>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</si>
  <si>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</si>
  <si>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</si>
  <si>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</si>
  <si>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</si>
  <si>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</si>
  <si>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</si>
  <si>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</si>
  <si>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</si>
  <si>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</si>
  <si>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</si>
  <si>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</si>
  <si>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</si>
  <si>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</si>
  <si>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</si>
  <si>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</si>
  <si>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</si>
  <si>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</si>
  <si>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</si>
  <si>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</si>
  <si>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</si>
  <si>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</si>
  <si>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</si>
  <si>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</si>
  <si>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</si>
  <si>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</si>
  <si>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</si>
  <si>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</si>
  <si>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</si>
  <si>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</si>
  <si>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</si>
  <si>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</si>
  <si>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</si>
  <si>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</si>
  <si>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</si>
  <si>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</si>
  <si>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</si>
  <si>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</si>
  <si>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</si>
  <si>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</si>
  <si>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</si>
  <si>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</si>
  <si>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</si>
  <si>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</si>
  <si>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</si>
  <si>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</si>
  <si>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</si>
  <si>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</si>
  <si>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</si>
  <si>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</si>
  <si>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</si>
  <si>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</si>
  <si>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</si>
  <si>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</si>
  <si>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</si>
  <si>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</si>
  <si>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</si>
  <si>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</si>
  <si>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</si>
  <si>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</si>
  <si>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</si>
  <si>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</si>
  <si>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</si>
  <si>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</si>
  <si>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</si>
  <si>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</si>
  <si>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</si>
  <si>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</si>
  <si>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</si>
  <si>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</si>
  <si>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</si>
  <si>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</si>
  <si>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</si>
  <si>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</si>
  <si>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</si>
  <si>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</si>
  <si>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</si>
  <si>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</si>
  <si>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</si>
  <si>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</si>
  <si>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</si>
  <si>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</si>
  <si>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</si>
  <si>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</si>
  <si>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</si>
  <si>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</si>
  <si>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</si>
  <si>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</si>
  <si>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</si>
  <si>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</si>
  <si>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</si>
  <si>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</si>
  <si>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</si>
  <si>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</si>
  <si>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</si>
  <si>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</si>
  <si>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</si>
  <si>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</si>
  <si>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</si>
  <si>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</si>
  <si>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</si>
  <si>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</si>
  <si>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</si>
  <si>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</si>
  <si>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</si>
  <si>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</si>
  <si>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</si>
  <si>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</si>
  <si>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</si>
  <si>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</si>
  <si>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</si>
  <si>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</si>
  <si>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</si>
  <si>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</si>
  <si>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</si>
  <si>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</si>
  <si>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</si>
  <si>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</si>
  <si>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</si>
  <si>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</si>
  <si>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</si>
  <si>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</si>
  <si>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</si>
  <si>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</si>
  <si>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</si>
  <si>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</si>
  <si>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</si>
  <si>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</si>
  <si>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</si>
  <si>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</si>
  <si>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</si>
  <si>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</si>
  <si>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</si>
  <si>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</si>
  <si>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</si>
  <si>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</si>
  <si>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</si>
  <si>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</si>
  <si>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</si>
  <si>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</si>
  <si>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</si>
  <si>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</si>
  <si>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</si>
  <si>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</si>
  <si>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</si>
  <si>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</si>
  <si>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</si>
  <si>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</si>
  <si>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</si>
  <si>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</si>
  <si>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</si>
  <si>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</si>
  <si>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</si>
  <si>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</si>
  <si>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</si>
  <si>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</si>
  <si>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</si>
  <si>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</si>
  <si>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</si>
  <si>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</si>
  <si>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</si>
  <si>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</si>
  <si>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</si>
  <si>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</si>
  <si>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</si>
  <si>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</si>
  <si>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</si>
  <si>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</si>
  <si>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</si>
  <si>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</si>
  <si>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</si>
  <si>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</si>
  <si>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</si>
  <si>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</si>
  <si>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</si>
  <si>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</si>
  <si>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</si>
  <si>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</si>
  <si>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</si>
  <si>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</si>
  <si>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</si>
  <si>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</si>
  <si>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</si>
  <si>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</si>
  <si>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</si>
  <si>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</si>
  <si>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</si>
  <si>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</si>
  <si>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</si>
  <si>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</si>
  <si>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</si>
  <si>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</si>
  <si>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</si>
  <si>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</si>
  <si>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</si>
  <si>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</si>
  <si>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</si>
  <si>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</si>
  <si>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</si>
  <si>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</si>
  <si>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</si>
  <si>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</si>
  <si>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</si>
  <si>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</si>
  <si>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</si>
  <si>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</si>
  <si>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</si>
  <si>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</si>
  <si>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</si>
  <si>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</si>
  <si>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</si>
  <si>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</si>
  <si>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</si>
  <si>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</si>
  <si>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</si>
  <si>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</si>
  <si>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</si>
  <si>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</si>
  <si>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</si>
  <si>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</si>
  <si>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</si>
  <si>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</si>
  <si>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</si>
  <si>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</si>
  <si>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</si>
  <si>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</si>
  <si>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</si>
  <si>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</si>
  <si>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</si>
  <si>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</si>
  <si>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</si>
  <si>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</si>
  <si>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</si>
  <si>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</si>
  <si>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</si>
  <si>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</si>
  <si>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</si>
  <si>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</si>
  <si>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</si>
  <si>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</si>
  <si>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</si>
  <si>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</si>
  <si>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</si>
  <si>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</si>
  <si>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</si>
  <si>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</si>
  <si>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</si>
  <si>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</si>
  <si>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</si>
  <si>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</si>
  <si>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</si>
  <si>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</si>
  <si>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</si>
  <si>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</si>
  <si>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</si>
  <si>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</si>
  <si>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</si>
  <si>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</si>
  <si>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</si>
  <si>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</si>
  <si>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</si>
  <si>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</si>
  <si>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</si>
  <si>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</si>
  <si>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</si>
  <si>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</si>
  <si>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</si>
  <si>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</si>
  <si>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</si>
  <si>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</si>
  <si>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</si>
  <si>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</si>
  <si>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</si>
  <si>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</si>
  <si>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</si>
  <si>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</si>
  <si>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</si>
  <si>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</si>
  <si>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</si>
  <si>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</si>
  <si>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</si>
  <si>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</si>
  <si>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</si>
  <si>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</si>
  <si>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</si>
  <si>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</si>
  <si>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</si>
  <si>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</si>
  <si>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</si>
  <si>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</si>
  <si>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</si>
  <si>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</si>
  <si>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</si>
  <si>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</si>
  <si>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</si>
  <si>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</si>
  <si>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</si>
  <si>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</si>
  <si>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</si>
  <si>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</si>
  <si>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</si>
  <si>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</si>
  <si>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</si>
  <si>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</si>
  <si>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</si>
  <si>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</si>
  <si>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</si>
  <si>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</si>
  <si>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</si>
  <si>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</si>
  <si>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</si>
  <si>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</si>
  <si>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</si>
  <si>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</si>
  <si>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</si>
  <si>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</si>
  <si>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</si>
  <si>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</si>
  <si>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</si>
  <si>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</si>
  <si>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</si>
  <si>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</si>
  <si>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</si>
  <si>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</si>
  <si>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</si>
  <si>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</si>
  <si>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</si>
  <si>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</si>
  <si>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</si>
  <si>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</si>
  <si>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</si>
  <si>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</si>
  <si>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</si>
  <si>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</si>
  <si>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</si>
  <si>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</si>
  <si>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</si>
  <si>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</si>
  <si>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</si>
  <si>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</si>
  <si>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</si>
  <si>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</si>
  <si>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</si>
  <si>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</si>
  <si>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</si>
  <si>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</si>
  <si>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</si>
  <si>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</si>
  <si>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</si>
  <si>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</si>
  <si>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</si>
  <si>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</si>
  <si>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</si>
  <si>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</si>
  <si>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</si>
  <si>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</si>
  <si>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</si>
  <si>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</si>
  <si>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</si>
  <si>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</si>
  <si>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</si>
  <si>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</si>
  <si>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</si>
  <si>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</si>
  <si>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</si>
  <si>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</si>
  <si>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</si>
  <si>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</si>
  <si>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</si>
  <si>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</si>
  <si>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</si>
  <si>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</si>
  <si>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</si>
  <si>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</si>
  <si>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</si>
  <si>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</si>
  <si>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</si>
  <si>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</si>
  <si>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</si>
  <si>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</si>
  <si>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</si>
  <si>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</si>
  <si>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</si>
  <si>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</si>
  <si>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</si>
  <si>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</si>
  <si>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</si>
  <si>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</si>
  <si>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</si>
  <si>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</si>
  <si>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</si>
  <si>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</si>
  <si>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</si>
  <si>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</si>
  <si>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</si>
  <si>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</si>
  <si>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</si>
  <si>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</si>
  <si>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</si>
  <si>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</si>
  <si>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</si>
  <si>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</si>
  <si>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</si>
  <si>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</si>
  <si>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</si>
  <si>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</si>
  <si>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</si>
  <si>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</si>
  <si>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</si>
  <si>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</si>
  <si>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</si>
  <si>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</si>
  <si>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</si>
  <si>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</si>
  <si>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</si>
  <si>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</si>
  <si>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</si>
  <si>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</si>
  <si>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</si>
  <si>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</si>
  <si>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</si>
  <si>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</si>
  <si>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</si>
  <si>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</si>
  <si>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</si>
  <si>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</si>
  <si>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</si>
  <si>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</si>
  <si>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</si>
  <si>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</si>
  <si>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</si>
  <si>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</si>
  <si>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</si>
  <si>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</si>
  <si>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</si>
  <si>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</si>
  <si>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</si>
  <si>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</si>
  <si>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</si>
  <si>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</si>
  <si>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</si>
  <si>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</si>
  <si>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</si>
  <si>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</si>
  <si>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</si>
  <si>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</si>
  <si>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</si>
  <si>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</si>
  <si>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</si>
  <si>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</si>
  <si>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</si>
  <si>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</si>
  <si>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</si>
  <si>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</si>
  <si>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</si>
  <si>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</si>
  <si>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</si>
  <si>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</si>
  <si>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</si>
  <si>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</si>
  <si>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</si>
  <si>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</si>
  <si>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</si>
  <si>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</si>
  <si>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</si>
  <si>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</si>
  <si>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</si>
  <si>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</si>
  <si>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</si>
  <si>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</si>
  <si>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</si>
  <si>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</si>
  <si>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</si>
  <si>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</si>
  <si>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</si>
  <si>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</si>
  <si>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</si>
  <si>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</si>
  <si>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</si>
  <si>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</si>
  <si>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</si>
  <si>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</si>
  <si>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</si>
  <si>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</si>
  <si>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</si>
  <si>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</si>
  <si>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</si>
  <si>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</si>
  <si>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</si>
  <si>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</si>
  <si>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</si>
  <si>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</si>
  <si>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</si>
  <si>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</si>
  <si>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</si>
  <si>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</si>
  <si>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</si>
  <si>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</si>
  <si>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</si>
  <si>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</si>
  <si>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</si>
  <si>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</si>
  <si>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</si>
  <si>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</si>
  <si>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</si>
  <si>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</si>
  <si>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</si>
  <si>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</si>
  <si>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</si>
  <si>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</si>
  <si>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</si>
  <si>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</si>
  <si>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</si>
  <si>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</si>
  <si>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</si>
  <si>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</si>
  <si>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</si>
  <si>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</si>
  <si>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</si>
  <si>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</si>
  <si>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</si>
  <si>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</si>
  <si>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</si>
  <si>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</si>
  <si>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</si>
  <si>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</si>
  <si>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</si>
  <si>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</si>
  <si>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</si>
  <si>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</si>
  <si>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</si>
  <si>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</si>
  <si>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</si>
  <si>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</si>
  <si>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</si>
  <si>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</si>
  <si>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</si>
  <si>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</si>
  <si>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</si>
  <si>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</si>
  <si>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</si>
  <si>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</si>
  <si>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</si>
  <si>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</si>
  <si>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</si>
  <si>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</si>
  <si>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</si>
  <si>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</si>
  <si>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</si>
  <si>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</si>
  <si>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</si>
  <si>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</si>
  <si>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</si>
  <si>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</si>
  <si>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</si>
  <si>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</si>
  <si>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</si>
  <si>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</si>
  <si>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</si>
  <si>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</si>
  <si>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</si>
  <si>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</si>
  <si>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</si>
  <si>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</si>
  <si>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</si>
  <si>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</si>
  <si>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</si>
  <si>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</si>
  <si>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</si>
  <si>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</si>
  <si>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</si>
  <si>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</si>
  <si>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</si>
  <si>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</si>
  <si>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</si>
  <si>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</si>
  <si>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</si>
  <si>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</si>
  <si>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</si>
  <si>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</si>
  <si>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</si>
  <si>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</si>
  <si>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</si>
  <si>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</si>
  <si>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</si>
  <si>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</si>
  <si>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</si>
  <si>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</si>
  <si>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</si>
  <si>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</si>
  <si>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</si>
  <si>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</si>
  <si>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</si>
  <si>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</si>
  <si>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</si>
  <si>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</si>
  <si>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</si>
  <si>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</si>
  <si>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</si>
  <si>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</si>
  <si>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</si>
  <si>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</si>
  <si>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</si>
  <si>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</si>
  <si>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</si>
  <si>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</si>
  <si>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</si>
  <si>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</si>
  <si>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</si>
  <si>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</si>
  <si>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</si>
  <si>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</si>
  <si>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</si>
  <si>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</si>
  <si>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</si>
  <si>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</si>
  <si>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</si>
  <si>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</si>
  <si>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</si>
  <si>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</si>
  <si>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</si>
  <si>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</si>
  <si>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</si>
  <si>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</si>
  <si>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</si>
  <si>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</si>
  <si>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</si>
  <si>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</si>
  <si>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</si>
  <si>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</si>
  <si>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</si>
  <si>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</si>
  <si>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</si>
  <si>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</si>
  <si>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</si>
  <si>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</si>
  <si>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</si>
  <si>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</si>
  <si>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</si>
  <si>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</si>
  <si>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</si>
  <si>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</si>
  <si>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</si>
  <si>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</si>
  <si>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</si>
  <si>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</si>
  <si>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</si>
  <si>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</si>
  <si>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</si>
  <si>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</si>
  <si>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</si>
  <si>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</si>
  <si>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</si>
  <si>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</si>
  <si>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</si>
  <si>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</si>
  <si>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</si>
  <si>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</si>
  <si>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</si>
  <si>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</si>
  <si>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</si>
  <si>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</si>
  <si>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</si>
  <si>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</si>
  <si>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</si>
  <si>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</si>
  <si>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</si>
  <si>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</si>
  <si>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</si>
  <si>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</si>
  <si>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</si>
  <si>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</si>
  <si>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</si>
  <si>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</si>
  <si>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</si>
  <si>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</si>
  <si>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</si>
  <si>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</si>
  <si>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</si>
  <si>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</si>
  <si>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</si>
  <si>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</si>
  <si>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</si>
  <si>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</si>
  <si>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</si>
  <si>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</si>
  <si>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</si>
  <si>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</si>
  <si>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</si>
  <si>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</si>
  <si>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</si>
  <si>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</si>
  <si>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</si>
  <si>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</si>
  <si>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</si>
  <si>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</si>
  <si>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</si>
  <si>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</si>
  <si>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</si>
  <si>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</si>
  <si>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</si>
  <si>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</si>
  <si>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</si>
  <si>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</si>
  <si>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</si>
  <si>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</si>
  <si>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</si>
  <si>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</si>
  <si>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</si>
  <si>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</si>
  <si>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</si>
  <si>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</si>
  <si>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</si>
  <si>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</si>
  <si>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</si>
  <si>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</si>
  <si>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</si>
  <si>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</si>
  <si>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</si>
  <si>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</si>
  <si>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</si>
  <si>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</si>
  <si>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</si>
  <si>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</si>
  <si>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</si>
  <si>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</si>
  <si>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</si>
  <si>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</si>
  <si>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</si>
  <si>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</si>
  <si>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</si>
  <si>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</si>
  <si>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</si>
  <si>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</si>
  <si>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</si>
  <si>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</si>
  <si>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</si>
  <si>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</si>
  <si>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</si>
  <si>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</si>
  <si>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</si>
  <si>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</si>
  <si>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</si>
  <si>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</si>
  <si>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</si>
  <si>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</si>
  <si>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</si>
  <si>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</si>
  <si>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</si>
  <si>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</si>
  <si>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</si>
  <si>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</si>
  <si>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</si>
  <si>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</si>
  <si>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</si>
  <si>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</si>
  <si>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</si>
  <si>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</si>
  <si>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</si>
  <si>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</si>
  <si>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</si>
  <si>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</si>
  <si>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</si>
  <si>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</si>
  <si>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</si>
  <si>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</si>
  <si>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</si>
  <si>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</si>
  <si>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</si>
  <si>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</si>
  <si>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</si>
  <si>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</si>
  <si>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</si>
  <si>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</si>
  <si>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</si>
  <si>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</si>
  <si>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</si>
  <si>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</si>
  <si>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</si>
  <si>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</si>
  <si>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</si>
  <si>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</si>
  <si>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</si>
  <si>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</si>
  <si>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</si>
  <si>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</si>
  <si>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</si>
  <si>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</si>
  <si>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</si>
  <si>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</si>
  <si>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</si>
  <si>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</si>
  <si>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</si>
  <si>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</si>
  <si>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</si>
  <si>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</si>
  <si>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</si>
  <si>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</si>
  <si>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</si>
  <si>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</si>
  <si>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</si>
  <si>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</si>
  <si>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</si>
  <si>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</si>
  <si>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</si>
  <si>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</si>
  <si>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</si>
  <si>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</si>
  <si>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</si>
  <si>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</si>
  <si>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</si>
  <si>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</si>
  <si>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</si>
  <si>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</si>
  <si>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</si>
  <si>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</si>
  <si>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</si>
  <si>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</si>
  <si>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</si>
  <si>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</si>
  <si>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</si>
  <si>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</si>
  <si>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</si>
  <si>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</si>
  <si>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</si>
  <si>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</si>
  <si>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</si>
  <si>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</si>
  <si>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</si>
  <si>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</si>
  <si>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</si>
  <si>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</si>
  <si>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</si>
  <si>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</si>
  <si>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</si>
  <si>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</si>
  <si>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</si>
  <si>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</si>
  <si>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</si>
  <si>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</si>
  <si>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</si>
  <si>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</si>
  <si>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</si>
  <si>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</si>
  <si>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</si>
  <si>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</si>
  <si>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</si>
  <si>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</si>
  <si>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</si>
  <si>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</si>
  <si>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</si>
  <si>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</si>
  <si>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</si>
  <si>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</si>
  <si>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</si>
  <si>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</si>
  <si>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</si>
  <si>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</si>
  <si>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</si>
  <si>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</si>
  <si>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</si>
  <si>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</si>
  <si>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</si>
  <si>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</si>
  <si>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</si>
  <si>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</si>
  <si>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</si>
  <si>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</si>
  <si>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</si>
  <si>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</si>
  <si>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</si>
  <si>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</si>
  <si>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</si>
  <si>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</si>
  <si>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</si>
  <si>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</si>
  <si>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</si>
  <si>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</si>
  <si>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</si>
  <si>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</si>
  <si>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</si>
  <si>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</si>
  <si>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</si>
  <si>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</si>
  <si>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</si>
  <si>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</si>
  <si>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</si>
  <si>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</si>
  <si>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</si>
  <si>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</si>
  <si>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</si>
  <si>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</si>
  <si>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</si>
  <si>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</si>
  <si>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</si>
  <si>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</si>
  <si>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</si>
  <si>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</si>
  <si>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</si>
  <si>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</si>
  <si>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</si>
  <si>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</si>
  <si>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</si>
  <si>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</si>
  <si>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</si>
  <si>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</si>
  <si>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</si>
  <si>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</si>
  <si>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</si>
  <si>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</si>
  <si>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</si>
  <si>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</si>
  <si>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</si>
  <si>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</si>
  <si>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</si>
  <si>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</si>
  <si>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</si>
  <si>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</si>
  <si>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Secretaria General</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</si>
  <si>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</si>
  <si>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</si>
  <si>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</si>
  <si>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</si>
  <si>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</si>
  <si>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</si>
  <si>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</si>
  <si>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</si>
  <si>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</si>
  <si>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</si>
  <si>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</si>
  <si>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</si>
  <si>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</si>
  <si>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</si>
  <si>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</si>
  <si>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</si>
  <si>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</si>
  <si>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</si>
  <si>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</si>
  <si>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</si>
  <si>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</si>
  <si>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</si>
  <si>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</si>
  <si>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</si>
  <si>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</si>
  <si>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</si>
  <si>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</si>
  <si>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</si>
  <si>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</si>
  <si>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HALIA CLIMENE ZAMBRANO ACOSTA</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</si>
  <si>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</si>
  <si>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</si>
  <si>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</si>
  <si>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</si>
  <si>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</si>
  <si>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</si>
  <si>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</si>
  <si>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</si>
  <si>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</si>
  <si>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</si>
  <si>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</si>
  <si>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</si>
  <si>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SDH-CD-014-2018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</si>
  <si>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</si>
  <si>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</si>
  <si>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</si>
  <si>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</si>
  <si>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</si>
  <si>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</si>
  <si>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</si>
  <si>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</si>
  <si>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</si>
  <si>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</si>
  <si>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</si>
  <si>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</si>
  <si>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</si>
  <si>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</si>
  <si>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</si>
  <si>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Jaime Alberto Garcia</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</si>
  <si>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</si>
  <si>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</si>
  <si>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</si>
  <si>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</si>
  <si>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</si>
  <si>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</si>
  <si>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</si>
  <si>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</si>
  <si>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</si>
  <si>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</si>
  <si>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</si>
  <si>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SDH-SAMC-01-2018 </t>
  </si>
  <si>
    <t>180284-0-2018</t>
  </si>
  <si>
    <t>VICTOR MANUEL BARAHONA ARIZA</t>
  </si>
  <si>
    <t>SDH-CD-032-2018</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</si>
  <si>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</si>
  <si>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</si>
  <si>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</si>
  <si>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</si>
  <si>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</si>
  <si>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</si>
  <si>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</si>
  <si>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</si>
  <si>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</si>
  <si>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</si>
  <si>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</si>
  <si>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</si>
  <si>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</si>
  <si>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</si>
  <si>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</si>
  <si>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</si>
  <si>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</si>
  <si>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</si>
  <si>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</si>
  <si>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</si>
  <si>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</si>
  <si>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</si>
  <si>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</si>
  <si>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</si>
  <si>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</si>
  <si>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</si>
  <si>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</si>
  <si>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</si>
  <si>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</si>
  <si>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</si>
  <si>
    <t>180295-0-2018</t>
  </si>
  <si>
    <t>ANA MARIA MONROY MORA</t>
  </si>
  <si>
    <t>Prestar servicios profesionales para apoyar la ejecución de las actividades contenidas en el Plan de Bienestar Social del Concejo de Bogotá.</t>
  </si>
  <si>
    <t>Servicios Profesionales/ Bienestar Social</t>
  </si>
  <si>
    <t>SDH-CD-034-2018</t>
  </si>
  <si>
    <t>Luis Fernado Meza</t>
  </si>
  <si>
    <t>Halia Zambrano</t>
  </si>
  <si>
    <t>Sonia Saavedra</t>
  </si>
  <si>
    <t>Gloria Hidalid Gonzalez</t>
  </si>
  <si>
    <t>180224-0-2018</t>
  </si>
  <si>
    <t>SDH-CD-006-2018</t>
  </si>
  <si>
    <t>180296-0-2018</t>
  </si>
  <si>
    <t>SDH-CD-045-2018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</si>
  <si>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</si>
  <si>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</si>
  <si>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</si>
  <si>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</si>
  <si>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</si>
  <si>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</si>
  <si>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</si>
  <si>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</si>
  <si>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</si>
  <si>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</si>
  <si>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</si>
  <si>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</si>
  <si>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</si>
  <si>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</si>
  <si>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</si>
  <si>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 Felipe Corzo</t>
  </si>
  <si>
    <t xml:space="preserve">Julieth Angarita
</t>
  </si>
  <si>
    <t>Andres Felipe Corzo</t>
  </si>
  <si>
    <t>180309-0-2018</t>
  </si>
  <si>
    <t>YENNY SOLEDAD CAMARGO PEREZ</t>
  </si>
  <si>
    <t>180204-0-2018</t>
  </si>
  <si>
    <t>SDH-CD-056-2018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</si>
  <si>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</si>
  <si>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</si>
  <si>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</si>
  <si>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SDH - CD -026-2018</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</si>
  <si>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</si>
  <si>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</si>
  <si>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</si>
  <si>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</si>
  <si>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</si>
  <si>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</si>
  <si>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</si>
  <si>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</si>
  <si>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</si>
  <si>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SDH-CD-061-2018</t>
  </si>
  <si>
    <t>180315-0-2018</t>
  </si>
  <si>
    <t>BUSINESSMIND COLOMBIA SA - BMIND COLOMBIA SA</t>
  </si>
  <si>
    <t>Prestar servicios de administración y operación de la plataforma oracle del Concejo de Bogotá</t>
  </si>
  <si>
    <t>SDH-SMINC-043-2018</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</si>
  <si>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</si>
  <si>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</si>
  <si>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</si>
  <si>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</si>
  <si>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</si>
  <si>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</si>
  <si>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SDH-CD-037-2018</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</si>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</sst>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3"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sz val="8"/>
      <color theme="1"/>
      <name val="Arial"/>
    </font>
    <font>
      <b/>
      <sz val="11"/>
      <color rgb="FF3D3D3D"/>
      <name val="Arial"/>
      <family val="2"/>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93">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170" fontId="81" fillId="0" borderId="0" xfId="0" applyNumberFormat="1" applyFont="1" applyAlignment="1">
      <alignment wrapText="1"/>
    </xf>
    <xf numFmtId="175" fontId="81" fillId="0" borderId="0" xfId="0" applyNumberFormat="1" applyFont="1" applyAlignment="1">
      <alignment wrapText="1"/>
    </xf>
    <xf numFmtId="170" fontId="81" fillId="0" borderId="0" xfId="0" applyNumberFormat="1" applyFont="1" applyAlignment="1">
      <alignment vertical="center" wrapText="1"/>
    </xf>
    <xf numFmtId="175" fontId="81" fillId="0" borderId="0" xfId="0" applyNumberFormat="1" applyFont="1" applyAlignment="1">
      <alignment vertical="center" wrapText="1"/>
    </xf>
    <xf numFmtId="0" fontId="81" fillId="0" borderId="0" xfId="0" applyFont="1" applyAlignment="1">
      <alignment horizontal="left" wrapText="1"/>
    </xf>
    <xf numFmtId="0" fontId="81" fillId="0" borderId="0" xfId="0" pivotButton="1" applyFont="1" applyAlignment="1">
      <alignment horizontal="center" vertical="center" wrapText="1"/>
    </xf>
    <xf numFmtId="0" fontId="81" fillId="0" borderId="0" xfId="0" applyFont="1" applyAlignment="1">
      <alignment horizontal="center" vertical="center" wrapText="1"/>
    </xf>
    <xf numFmtId="175" fontId="81" fillId="0" borderId="0" xfId="0" applyNumberFormat="1" applyFont="1" applyAlignment="1">
      <alignment horizontal="center" vertical="center" wrapText="1"/>
    </xf>
    <xf numFmtId="0" fontId="81" fillId="0" borderId="0" xfId="0" pivotButton="1" applyFont="1" applyAlignment="1">
      <alignment vertical="center" wrapText="1"/>
    </xf>
    <xf numFmtId="9" fontId="81" fillId="0" borderId="0" xfId="0" applyNumberFormat="1" applyFont="1" applyAlignment="1">
      <alignment horizontal="left" wrapText="1"/>
    </xf>
    <xf numFmtId="0" fontId="81" fillId="0" borderId="0" xfId="0" pivotButton="1" applyFont="1" applyAlignment="1">
      <alignment wrapText="1"/>
    </xf>
    <xf numFmtId="0" fontId="81" fillId="0" borderId="0" xfId="0" applyFont="1" applyAlignment="1">
      <alignment wrapText="1"/>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2" fillId="0" borderId="0" xfId="0" applyFont="1"/>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829">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05-10-2018.xlsx]Gráficos!Tabla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626080592"/>
        <c:axId val="-1626082768"/>
      </c:barChart>
      <c:catAx>
        <c:axId val="-1626080592"/>
        <c:scaling>
          <c:orientation val="minMax"/>
        </c:scaling>
        <c:delete val="0"/>
        <c:axPos val="b"/>
        <c:numFmt formatCode="General" sourceLinked="0"/>
        <c:majorTickMark val="out"/>
        <c:minorTickMark val="none"/>
        <c:tickLblPos val="nextTo"/>
        <c:crossAx val="-1626082768"/>
        <c:crosses val="autoZero"/>
        <c:auto val="1"/>
        <c:lblAlgn val="ctr"/>
        <c:lblOffset val="100"/>
        <c:noMultiLvlLbl val="0"/>
      </c:catAx>
      <c:valAx>
        <c:axId val="-1626082768"/>
        <c:scaling>
          <c:orientation val="minMax"/>
        </c:scaling>
        <c:delete val="0"/>
        <c:axPos val="l"/>
        <c:majorGridlines/>
        <c:numFmt formatCode="General" sourceLinked="1"/>
        <c:majorTickMark val="out"/>
        <c:minorTickMark val="none"/>
        <c:tickLblPos val="nextTo"/>
        <c:crossAx val="-1626080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05-10-2018.xlsx]Gráficos!Tabla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1626077872"/>
        <c:axId val="-1626080048"/>
      </c:barChart>
      <c:catAx>
        <c:axId val="-1626077872"/>
        <c:scaling>
          <c:orientation val="minMax"/>
        </c:scaling>
        <c:delete val="0"/>
        <c:axPos val="b"/>
        <c:numFmt formatCode="General" sourceLinked="0"/>
        <c:majorTickMark val="out"/>
        <c:minorTickMark val="none"/>
        <c:tickLblPos val="nextTo"/>
        <c:crossAx val="-1626080048"/>
        <c:crosses val="autoZero"/>
        <c:auto val="1"/>
        <c:lblAlgn val="ctr"/>
        <c:lblOffset val="100"/>
        <c:noMultiLvlLbl val="0"/>
      </c:catAx>
      <c:valAx>
        <c:axId val="-1626080048"/>
        <c:scaling>
          <c:orientation val="minMax"/>
        </c:scaling>
        <c:delete val="0"/>
        <c:axPos val="l"/>
        <c:majorGridlines/>
        <c:numFmt formatCode="General" sourceLinked="1"/>
        <c:majorTickMark val="out"/>
        <c:minorTickMark val="none"/>
        <c:tickLblPos val="nextTo"/>
        <c:crossAx val="-162607787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05-10-2018.xlsx]Gráficos!Tabla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1626073520"/>
        <c:axId val="-1626074064"/>
      </c:barChart>
      <c:catAx>
        <c:axId val="-1626073520"/>
        <c:scaling>
          <c:orientation val="minMax"/>
        </c:scaling>
        <c:delete val="0"/>
        <c:axPos val="b"/>
        <c:numFmt formatCode="General" sourceLinked="0"/>
        <c:majorTickMark val="out"/>
        <c:minorTickMark val="none"/>
        <c:tickLblPos val="nextTo"/>
        <c:crossAx val="-1626074064"/>
        <c:crosses val="autoZero"/>
        <c:auto val="1"/>
        <c:lblAlgn val="ctr"/>
        <c:lblOffset val="100"/>
        <c:noMultiLvlLbl val="0"/>
      </c:catAx>
      <c:valAx>
        <c:axId val="-1626074064"/>
        <c:scaling>
          <c:orientation val="minMax"/>
        </c:scaling>
        <c:delete val="0"/>
        <c:axPos val="l"/>
        <c:majorGridlines/>
        <c:numFmt formatCode="General" sourceLinked="1"/>
        <c:majorTickMark val="out"/>
        <c:minorTickMark val="none"/>
        <c:tickLblPos val="nextTo"/>
        <c:crossAx val="-162607352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05-10-2018.xlsx]Gráficos!Tabla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1626072976"/>
        <c:axId val="-1626071344"/>
      </c:barChart>
      <c:catAx>
        <c:axId val="-1626072976"/>
        <c:scaling>
          <c:orientation val="minMax"/>
        </c:scaling>
        <c:delete val="0"/>
        <c:axPos val="b"/>
        <c:numFmt formatCode="General" sourceLinked="0"/>
        <c:majorTickMark val="out"/>
        <c:minorTickMark val="none"/>
        <c:tickLblPos val="nextTo"/>
        <c:crossAx val="-1626071344"/>
        <c:crosses val="autoZero"/>
        <c:auto val="1"/>
        <c:lblAlgn val="ctr"/>
        <c:lblOffset val="100"/>
        <c:noMultiLvlLbl val="0"/>
      </c:catAx>
      <c:valAx>
        <c:axId val="-1626071344"/>
        <c:scaling>
          <c:orientation val="minMax"/>
        </c:scaling>
        <c:delete val="0"/>
        <c:axPos val="l"/>
        <c:majorGridlines/>
        <c:numFmt formatCode="General" sourceLinked="1"/>
        <c:majorTickMark val="out"/>
        <c:minorTickMark val="none"/>
        <c:tickLblPos val="nextTo"/>
        <c:crossAx val="-162607297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NESTOR ARLEY RAMÍREZ RAMÍREZ" refreshedDate="43383.646350694442"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NESTOR ARLEY RAMÍREZ RAMÍREZ" refreshedDate="43383.646358217593"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NESTOR ARLEY RAMÍREZ RAMÍREZ" refreshedDate="43383.646358333332"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NESTOR ARLEY RAMÍREZ RAMÍREZ" refreshedDate="43383.646358449078"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NESTOR ARLEY RAMÍREZ RAMÍREZ" refreshedDate="43383.646358680555"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7">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828">
      <pivotArea type="all" dataOnly="0" outline="0" fieldPosition="0"/>
    </format>
    <format dxfId="827">
      <pivotArea outline="0" collapsedLevelsAreSubtotals="1" fieldPosition="0"/>
    </format>
    <format dxfId="826">
      <pivotArea dataOnly="0" labelOnly="1" outline="0" axis="axisValues" fieldPosition="0"/>
    </format>
    <format dxfId="825">
      <pivotArea outline="0" collapsedLevelsAreSubtotals="1" fieldPosition="0">
        <references count="1">
          <reference field="4294967294" count="1" selected="0">
            <x v="2"/>
          </reference>
        </references>
      </pivotArea>
    </format>
    <format dxfId="824">
      <pivotArea dataOnly="0" labelOnly="1" outline="0" fieldPosition="0">
        <references count="1">
          <reference field="4294967294" count="1">
            <x v="2"/>
          </reference>
        </references>
      </pivotArea>
    </format>
    <format dxfId="823">
      <pivotArea outline="0" fieldPosition="0">
        <references count="1">
          <reference field="4294967294" count="1">
            <x v="3"/>
          </reference>
        </references>
      </pivotArea>
    </format>
    <format dxfId="822">
      <pivotArea outline="0" collapsedLevelsAreSubtotals="1" fieldPosition="0">
        <references count="1">
          <reference field="4294967294" count="2" selected="0">
            <x v="3"/>
            <x v="4"/>
          </reference>
        </references>
      </pivotArea>
    </format>
    <format dxfId="821">
      <pivotArea dataOnly="0" labelOnly="1" outline="0" fieldPosition="0">
        <references count="1">
          <reference field="4294967294" count="2">
            <x v="3"/>
            <x v="4"/>
          </reference>
        </references>
      </pivotArea>
    </format>
    <format dxfId="820">
      <pivotArea field="0" type="button" dataOnly="0" labelOnly="1" outline="0" axis="axisRow" fieldPosition="0"/>
    </format>
    <format dxfId="819">
      <pivotArea dataOnly="0" labelOnly="1" outline="0" fieldPosition="0">
        <references count="1">
          <reference field="4294967294" count="5">
            <x v="0"/>
            <x v="1"/>
            <x v="2"/>
            <x v="3"/>
            <x v="4"/>
          </reference>
        </references>
      </pivotArea>
    </format>
    <format dxfId="818">
      <pivotArea field="0" type="button" dataOnly="0" labelOnly="1" outline="0" axis="axisRow" fieldPosition="0"/>
    </format>
    <format dxfId="817">
      <pivotArea dataOnly="0" labelOnly="1" outline="0" fieldPosition="0">
        <references count="1">
          <reference field="4294967294" count="5">
            <x v="0"/>
            <x v="1"/>
            <x v="2"/>
            <x v="3"/>
            <x v="4"/>
          </reference>
        </references>
      </pivotArea>
    </format>
    <format dxfId="816">
      <pivotArea dataOnly="0" labelOnly="1" outline="0" fieldPosition="0">
        <references count="1">
          <reference field="21" count="0"/>
        </references>
      </pivotArea>
    </format>
    <format dxfId="815">
      <pivotArea field="21" type="button" dataOnly="0" labelOnly="1" outline="0" axis="axisPage" fieldPosition="0"/>
    </format>
    <format dxfId="814">
      <pivotArea collapsedLevelsAreSubtotals="1" fieldPosition="0">
        <references count="3">
          <reference field="0" count="1" selected="0">
            <x v="74"/>
          </reference>
          <reference field="1" count="1" selected="0">
            <x v="83"/>
          </reference>
          <reference field="3" count="1">
            <x v="90"/>
          </reference>
        </references>
      </pivotArea>
    </format>
    <format dxfId="813">
      <pivotArea collapsedLevelsAreSubtotals="1" fieldPosition="0">
        <references count="1">
          <reference field="0" count="1">
            <x v="100"/>
          </reference>
        </references>
      </pivotArea>
    </format>
    <format dxfId="812">
      <pivotArea collapsedLevelsAreSubtotals="1" fieldPosition="0">
        <references count="2">
          <reference field="0" count="1" selected="0">
            <x v="100"/>
          </reference>
          <reference field="1" count="1">
            <x v="56"/>
          </reference>
        </references>
      </pivotArea>
    </format>
    <format dxfId="811">
      <pivotArea collapsedLevelsAreSubtotals="1" fieldPosition="0">
        <references count="3">
          <reference field="0" count="1" selected="0">
            <x v="100"/>
          </reference>
          <reference field="1" count="1" selected="0">
            <x v="56"/>
          </reference>
          <reference field="3" count="1">
            <x v="199"/>
          </reference>
        </references>
      </pivotArea>
    </format>
    <format dxfId="810">
      <pivotArea collapsedLevelsAreSubtotals="1" fieldPosition="0">
        <references count="1">
          <reference field="0" count="1">
            <x v="119"/>
          </reference>
        </references>
      </pivotArea>
    </format>
    <format dxfId="809">
      <pivotArea collapsedLevelsAreSubtotals="1" fieldPosition="0">
        <references count="2">
          <reference field="0" count="1" selected="0">
            <x v="119"/>
          </reference>
          <reference field="1" count="1">
            <x v="141"/>
          </reference>
        </references>
      </pivotArea>
    </format>
    <format dxfId="808">
      <pivotArea collapsedLevelsAreSubtotals="1" fieldPosition="0">
        <references count="3">
          <reference field="0" count="1" selected="0">
            <x v="119"/>
          </reference>
          <reference field="1" count="1" selected="0">
            <x v="141"/>
          </reference>
          <reference field="3" count="1">
            <x v="58"/>
          </reference>
        </references>
      </pivotArea>
    </format>
    <format dxfId="807">
      <pivotArea collapsedLevelsAreSubtotals="1" fieldPosition="0">
        <references count="1">
          <reference field="0" count="1">
            <x v="128"/>
          </reference>
        </references>
      </pivotArea>
    </format>
    <format dxfId="806">
      <pivotArea collapsedLevelsAreSubtotals="1" fieldPosition="0">
        <references count="2">
          <reference field="0" count="1" selected="0">
            <x v="128"/>
          </reference>
          <reference field="1" count="1">
            <x v="38"/>
          </reference>
        </references>
      </pivotArea>
    </format>
    <format dxfId="805">
      <pivotArea collapsedLevelsAreSubtotals="1" fieldPosition="0">
        <references count="3">
          <reference field="0" count="1" selected="0">
            <x v="128"/>
          </reference>
          <reference field="1" count="1" selected="0">
            <x v="38"/>
          </reference>
          <reference field="3" count="1">
            <x v="75"/>
          </reference>
        </references>
      </pivotArea>
    </format>
    <format dxfId="804">
      <pivotArea collapsedLevelsAreSubtotals="1" fieldPosition="0">
        <references count="1">
          <reference field="0" count="1">
            <x v="134"/>
          </reference>
        </references>
      </pivotArea>
    </format>
    <format dxfId="803">
      <pivotArea collapsedLevelsAreSubtotals="1" fieldPosition="0">
        <references count="2">
          <reference field="0" count="1" selected="0">
            <x v="134"/>
          </reference>
          <reference field="1" count="1">
            <x v="87"/>
          </reference>
        </references>
      </pivotArea>
    </format>
    <format dxfId="802">
      <pivotArea collapsedLevelsAreSubtotals="1" fieldPosition="0">
        <references count="3">
          <reference field="0" count="1" selected="0">
            <x v="134"/>
          </reference>
          <reference field="1" count="1" selected="0">
            <x v="87"/>
          </reference>
          <reference field="3" count="1">
            <x v="57"/>
          </reference>
        </references>
      </pivotArea>
    </format>
    <format dxfId="801">
      <pivotArea collapsedLevelsAreSubtotals="1" fieldPosition="0">
        <references count="1">
          <reference field="0" count="1">
            <x v="135"/>
          </reference>
        </references>
      </pivotArea>
    </format>
    <format dxfId="800">
      <pivotArea collapsedLevelsAreSubtotals="1" fieldPosition="0">
        <references count="2">
          <reference field="0" count="1" selected="0">
            <x v="135"/>
          </reference>
          <reference field="1" count="1">
            <x v="63"/>
          </reference>
        </references>
      </pivotArea>
    </format>
    <format dxfId="799">
      <pivotArea collapsedLevelsAreSubtotals="1" fieldPosition="0">
        <references count="3">
          <reference field="0" count="1" selected="0">
            <x v="135"/>
          </reference>
          <reference field="1" count="1" selected="0">
            <x v="63"/>
          </reference>
          <reference field="3" count="1">
            <x v="116"/>
          </reference>
        </references>
      </pivotArea>
    </format>
    <format dxfId="798">
      <pivotArea collapsedLevelsAreSubtotals="1" fieldPosition="0">
        <references count="1">
          <reference field="0" count="1">
            <x v="138"/>
          </reference>
        </references>
      </pivotArea>
    </format>
    <format dxfId="797">
      <pivotArea collapsedLevelsAreSubtotals="1" fieldPosition="0">
        <references count="2">
          <reference field="0" count="1" selected="0">
            <x v="138"/>
          </reference>
          <reference field="1" count="1">
            <x v="69"/>
          </reference>
        </references>
      </pivotArea>
    </format>
    <format dxfId="796">
      <pivotArea collapsedLevelsAreSubtotals="1" fieldPosition="0">
        <references count="3">
          <reference field="0" count="1" selected="0">
            <x v="138"/>
          </reference>
          <reference field="1" count="1" selected="0">
            <x v="69"/>
          </reference>
          <reference field="3" count="1">
            <x v="198"/>
          </reference>
        </references>
      </pivotArea>
    </format>
    <format dxfId="795">
      <pivotArea collapsedLevelsAreSubtotals="1" fieldPosition="0">
        <references count="1">
          <reference field="0" count="1">
            <x v="142"/>
          </reference>
        </references>
      </pivotArea>
    </format>
    <format dxfId="794">
      <pivotArea collapsedLevelsAreSubtotals="1" fieldPosition="0">
        <references count="2">
          <reference field="0" count="1" selected="0">
            <x v="142"/>
          </reference>
          <reference field="1" count="1">
            <x v="164"/>
          </reference>
        </references>
      </pivotArea>
    </format>
    <format dxfId="793">
      <pivotArea collapsedLevelsAreSubtotals="1" fieldPosition="0">
        <references count="3">
          <reference field="0" count="1" selected="0">
            <x v="142"/>
          </reference>
          <reference field="1" count="1" selected="0">
            <x v="164"/>
          </reference>
          <reference field="3" count="1">
            <x v="126"/>
          </reference>
        </references>
      </pivotArea>
    </format>
    <format dxfId="792">
      <pivotArea collapsedLevelsAreSubtotals="1" fieldPosition="0">
        <references count="1">
          <reference field="0" count="1">
            <x v="143"/>
          </reference>
        </references>
      </pivotArea>
    </format>
    <format dxfId="791">
      <pivotArea collapsedLevelsAreSubtotals="1" fieldPosition="0">
        <references count="2">
          <reference field="0" count="1" selected="0">
            <x v="143"/>
          </reference>
          <reference field="1" count="1">
            <x v="145"/>
          </reference>
        </references>
      </pivotArea>
    </format>
    <format dxfId="790">
      <pivotArea collapsedLevelsAreSubtotals="1" fieldPosition="0">
        <references count="3">
          <reference field="0" count="1" selected="0">
            <x v="143"/>
          </reference>
          <reference field="1" count="1" selected="0">
            <x v="145"/>
          </reference>
          <reference field="3" count="1">
            <x v="183"/>
          </reference>
        </references>
      </pivotArea>
    </format>
    <format dxfId="789">
      <pivotArea collapsedLevelsAreSubtotals="1" fieldPosition="0">
        <references count="1">
          <reference field="0" count="1">
            <x v="144"/>
          </reference>
        </references>
      </pivotArea>
    </format>
    <format dxfId="788">
      <pivotArea collapsedLevelsAreSubtotals="1" fieldPosition="0">
        <references count="2">
          <reference field="0" count="1" selected="0">
            <x v="144"/>
          </reference>
          <reference field="1" count="1">
            <x v="82"/>
          </reference>
        </references>
      </pivotArea>
    </format>
    <format dxfId="787">
      <pivotArea collapsedLevelsAreSubtotals="1" fieldPosition="0">
        <references count="3">
          <reference field="0" count="1" selected="0">
            <x v="144"/>
          </reference>
          <reference field="1" count="1" selected="0">
            <x v="82"/>
          </reference>
          <reference field="3" count="1">
            <x v="36"/>
          </reference>
        </references>
      </pivotArea>
    </format>
    <format dxfId="786">
      <pivotArea collapsedLevelsAreSubtotals="1" fieldPosition="0">
        <references count="1">
          <reference field="0" count="1">
            <x v="147"/>
          </reference>
        </references>
      </pivotArea>
    </format>
    <format dxfId="785">
      <pivotArea collapsedLevelsAreSubtotals="1" fieldPosition="0">
        <references count="2">
          <reference field="0" count="1" selected="0">
            <x v="147"/>
          </reference>
          <reference field="1" count="1">
            <x v="134"/>
          </reference>
        </references>
      </pivotArea>
    </format>
    <format dxfId="784">
      <pivotArea collapsedLevelsAreSubtotals="1" fieldPosition="0">
        <references count="3">
          <reference field="0" count="1" selected="0">
            <x v="147"/>
          </reference>
          <reference field="1" count="1" selected="0">
            <x v="134"/>
          </reference>
          <reference field="3" count="1">
            <x v="178"/>
          </reference>
        </references>
      </pivotArea>
    </format>
    <format dxfId="783">
      <pivotArea collapsedLevelsAreSubtotals="1" fieldPosition="0">
        <references count="1">
          <reference field="0" count="1">
            <x v="149"/>
          </reference>
        </references>
      </pivotArea>
    </format>
    <format dxfId="782">
      <pivotArea collapsedLevelsAreSubtotals="1" fieldPosition="0">
        <references count="2">
          <reference field="0" count="1" selected="0">
            <x v="149"/>
          </reference>
          <reference field="1" count="1">
            <x v="130"/>
          </reference>
        </references>
      </pivotArea>
    </format>
    <format dxfId="781">
      <pivotArea collapsedLevelsAreSubtotals="1" fieldPosition="0">
        <references count="3">
          <reference field="0" count="1" selected="0">
            <x v="149"/>
          </reference>
          <reference field="1" count="1" selected="0">
            <x v="130"/>
          </reference>
          <reference field="3" count="1">
            <x v="96"/>
          </reference>
        </references>
      </pivotArea>
    </format>
    <format dxfId="780">
      <pivotArea collapsedLevelsAreSubtotals="1" fieldPosition="0">
        <references count="1">
          <reference field="0" count="1">
            <x v="158"/>
          </reference>
        </references>
      </pivotArea>
    </format>
    <format dxfId="779">
      <pivotArea collapsedLevelsAreSubtotals="1" fieldPosition="0">
        <references count="2">
          <reference field="0" count="1" selected="0">
            <x v="158"/>
          </reference>
          <reference field="1" count="1">
            <x v="166"/>
          </reference>
        </references>
      </pivotArea>
    </format>
    <format dxfId="778">
      <pivotArea collapsedLevelsAreSubtotals="1" fieldPosition="0">
        <references count="3">
          <reference field="0" count="1" selected="0">
            <x v="158"/>
          </reference>
          <reference field="1" count="1" selected="0">
            <x v="166"/>
          </reference>
          <reference field="3" count="1">
            <x v="53"/>
          </reference>
        </references>
      </pivotArea>
    </format>
    <format dxfId="777">
      <pivotArea collapsedLevelsAreSubtotals="1" fieldPosition="0">
        <references count="1">
          <reference field="0" count="1">
            <x v="161"/>
          </reference>
        </references>
      </pivotArea>
    </format>
    <format dxfId="776">
      <pivotArea collapsedLevelsAreSubtotals="1" fieldPosition="0">
        <references count="2">
          <reference field="0" count="1" selected="0">
            <x v="161"/>
          </reference>
          <reference field="1" count="1">
            <x v="48"/>
          </reference>
        </references>
      </pivotArea>
    </format>
    <format dxfId="775">
      <pivotArea collapsedLevelsAreSubtotals="1" fieldPosition="0">
        <references count="3">
          <reference field="0" count="1" selected="0">
            <x v="161"/>
          </reference>
          <reference field="1" count="1" selected="0">
            <x v="48"/>
          </reference>
          <reference field="3" count="1">
            <x v="97"/>
          </reference>
        </references>
      </pivotArea>
    </format>
    <format dxfId="774">
      <pivotArea collapsedLevelsAreSubtotals="1" fieldPosition="0">
        <references count="1">
          <reference field="0" count="1">
            <x v="167"/>
          </reference>
        </references>
      </pivotArea>
    </format>
    <format dxfId="773">
      <pivotArea collapsedLevelsAreSubtotals="1" fieldPosition="0">
        <references count="2">
          <reference field="0" count="1" selected="0">
            <x v="167"/>
          </reference>
          <reference field="1" count="1">
            <x v="132"/>
          </reference>
        </references>
      </pivotArea>
    </format>
    <format dxfId="772">
      <pivotArea collapsedLevelsAreSubtotals="1" fieldPosition="0">
        <references count="3">
          <reference field="0" count="1" selected="0">
            <x v="167"/>
          </reference>
          <reference field="1" count="1" selected="0">
            <x v="132"/>
          </reference>
          <reference field="3" count="1">
            <x v="188"/>
          </reference>
        </references>
      </pivotArea>
    </format>
    <format dxfId="771">
      <pivotArea collapsedLevelsAreSubtotals="1" fieldPosition="0">
        <references count="1">
          <reference field="0" count="1">
            <x v="168"/>
          </reference>
        </references>
      </pivotArea>
    </format>
    <format dxfId="770">
      <pivotArea collapsedLevelsAreSubtotals="1" fieldPosition="0">
        <references count="2">
          <reference field="0" count="1" selected="0">
            <x v="168"/>
          </reference>
          <reference field="1" count="1">
            <x v="102"/>
          </reference>
        </references>
      </pivotArea>
    </format>
    <format dxfId="769">
      <pivotArea collapsedLevelsAreSubtotals="1" fieldPosition="0">
        <references count="3">
          <reference field="0" count="1" selected="0">
            <x v="168"/>
          </reference>
          <reference field="1" count="1" selected="0">
            <x v="102"/>
          </reference>
          <reference field="3" count="1">
            <x v="151"/>
          </reference>
        </references>
      </pivotArea>
    </format>
    <format dxfId="768">
      <pivotArea collapsedLevelsAreSubtotals="1" fieldPosition="0">
        <references count="1">
          <reference field="0" count="1">
            <x v="169"/>
          </reference>
        </references>
      </pivotArea>
    </format>
    <format dxfId="767">
      <pivotArea collapsedLevelsAreSubtotals="1" fieldPosition="0">
        <references count="2">
          <reference field="0" count="1" selected="0">
            <x v="169"/>
          </reference>
          <reference field="1" count="1">
            <x v="21"/>
          </reference>
        </references>
      </pivotArea>
    </format>
    <format dxfId="766">
      <pivotArea collapsedLevelsAreSubtotals="1" fieldPosition="0">
        <references count="3">
          <reference field="0" count="1" selected="0">
            <x v="169"/>
          </reference>
          <reference field="1" count="1" selected="0">
            <x v="21"/>
          </reference>
          <reference field="3" count="1">
            <x v="192"/>
          </reference>
        </references>
      </pivotArea>
    </format>
    <format dxfId="765">
      <pivotArea collapsedLevelsAreSubtotals="1" fieldPosition="0">
        <references count="1">
          <reference field="0" count="1">
            <x v="171"/>
          </reference>
        </references>
      </pivotArea>
    </format>
    <format dxfId="764">
      <pivotArea collapsedLevelsAreSubtotals="1" fieldPosition="0">
        <references count="2">
          <reference field="0" count="1" selected="0">
            <x v="171"/>
          </reference>
          <reference field="1" count="1">
            <x v="136"/>
          </reference>
        </references>
      </pivotArea>
    </format>
    <format dxfId="763">
      <pivotArea collapsedLevelsAreSubtotals="1" fieldPosition="0">
        <references count="3">
          <reference field="0" count="1" selected="0">
            <x v="171"/>
          </reference>
          <reference field="1" count="1" selected="0">
            <x v="136"/>
          </reference>
          <reference field="3" count="1">
            <x v="129"/>
          </reference>
        </references>
      </pivotArea>
    </format>
    <format dxfId="762">
      <pivotArea collapsedLevelsAreSubtotals="1" fieldPosition="0">
        <references count="1">
          <reference field="0" count="1">
            <x v="172"/>
          </reference>
        </references>
      </pivotArea>
    </format>
    <format dxfId="761">
      <pivotArea collapsedLevelsAreSubtotals="1" fieldPosition="0">
        <references count="2">
          <reference field="0" count="1" selected="0">
            <x v="172"/>
          </reference>
          <reference field="1" count="1">
            <x v="170"/>
          </reference>
        </references>
      </pivotArea>
    </format>
    <format dxfId="760">
      <pivotArea collapsedLevelsAreSubtotals="1" fieldPosition="0">
        <references count="3">
          <reference field="0" count="1" selected="0">
            <x v="172"/>
          </reference>
          <reference field="1" count="1" selected="0">
            <x v="170"/>
          </reference>
          <reference field="3" count="1">
            <x v="153"/>
          </reference>
        </references>
      </pivotArea>
    </format>
    <format dxfId="759">
      <pivotArea collapsedLevelsAreSubtotals="1" fieldPosition="0">
        <references count="1">
          <reference field="0" count="1">
            <x v="173"/>
          </reference>
        </references>
      </pivotArea>
    </format>
    <format dxfId="758">
      <pivotArea collapsedLevelsAreSubtotals="1" fieldPosition="0">
        <references count="2">
          <reference field="0" count="1" selected="0">
            <x v="173"/>
          </reference>
          <reference field="1" count="1">
            <x v="54"/>
          </reference>
        </references>
      </pivotArea>
    </format>
    <format dxfId="757">
      <pivotArea collapsedLevelsAreSubtotals="1" fieldPosition="0">
        <references count="3">
          <reference field="0" count="1" selected="0">
            <x v="173"/>
          </reference>
          <reference field="1" count="1" selected="0">
            <x v="54"/>
          </reference>
          <reference field="3" count="1">
            <x v="145"/>
          </reference>
        </references>
      </pivotArea>
    </format>
    <format dxfId="756">
      <pivotArea collapsedLevelsAreSubtotals="1" fieldPosition="0">
        <references count="1">
          <reference field="0" count="1">
            <x v="174"/>
          </reference>
        </references>
      </pivotArea>
    </format>
    <format dxfId="755">
      <pivotArea collapsedLevelsAreSubtotals="1" fieldPosition="0">
        <references count="2">
          <reference field="0" count="1" selected="0">
            <x v="174"/>
          </reference>
          <reference field="1" count="1">
            <x v="64"/>
          </reference>
        </references>
      </pivotArea>
    </format>
    <format dxfId="754">
      <pivotArea collapsedLevelsAreSubtotals="1" fieldPosition="0">
        <references count="3">
          <reference field="0" count="1" selected="0">
            <x v="174"/>
          </reference>
          <reference field="1" count="1" selected="0">
            <x v="64"/>
          </reference>
          <reference field="3" count="1">
            <x v="141"/>
          </reference>
        </references>
      </pivotArea>
    </format>
    <format dxfId="753">
      <pivotArea collapsedLevelsAreSubtotals="1" fieldPosition="0">
        <references count="1">
          <reference field="0" count="1">
            <x v="175"/>
          </reference>
        </references>
      </pivotArea>
    </format>
    <format dxfId="752">
      <pivotArea collapsedLevelsAreSubtotals="1" fieldPosition="0">
        <references count="2">
          <reference field="0" count="1" selected="0">
            <x v="175"/>
          </reference>
          <reference field="1" count="1">
            <x v="91"/>
          </reference>
        </references>
      </pivotArea>
    </format>
    <format dxfId="751">
      <pivotArea collapsedLevelsAreSubtotals="1" fieldPosition="0">
        <references count="3">
          <reference field="0" count="1" selected="0">
            <x v="175"/>
          </reference>
          <reference field="1" count="1" selected="0">
            <x v="91"/>
          </reference>
          <reference field="3" count="1">
            <x v="141"/>
          </reference>
        </references>
      </pivotArea>
    </format>
    <format dxfId="750">
      <pivotArea collapsedLevelsAreSubtotals="1" fieldPosition="0">
        <references count="1">
          <reference field="0" count="1">
            <x v="176"/>
          </reference>
        </references>
      </pivotArea>
    </format>
    <format dxfId="749">
      <pivotArea collapsedLevelsAreSubtotals="1" fieldPosition="0">
        <references count="2">
          <reference field="0" count="1" selected="0">
            <x v="176"/>
          </reference>
          <reference field="1" count="1">
            <x v="169"/>
          </reference>
        </references>
      </pivotArea>
    </format>
    <format dxfId="748">
      <pivotArea collapsedLevelsAreSubtotals="1" fieldPosition="0">
        <references count="3">
          <reference field="0" count="1" selected="0">
            <x v="176"/>
          </reference>
          <reference field="1" count="1" selected="0">
            <x v="169"/>
          </reference>
          <reference field="3" count="1">
            <x v="141"/>
          </reference>
        </references>
      </pivotArea>
    </format>
    <format dxfId="747">
      <pivotArea collapsedLevelsAreSubtotals="1" fieldPosition="0">
        <references count="1">
          <reference field="0" count="1">
            <x v="177"/>
          </reference>
        </references>
      </pivotArea>
    </format>
    <format dxfId="746">
      <pivotArea collapsedLevelsAreSubtotals="1" fieldPosition="0">
        <references count="2">
          <reference field="0" count="1" selected="0">
            <x v="177"/>
          </reference>
          <reference field="1" count="1">
            <x v="120"/>
          </reference>
        </references>
      </pivotArea>
    </format>
    <format dxfId="745">
      <pivotArea collapsedLevelsAreSubtotals="1" fieldPosition="0">
        <references count="3">
          <reference field="0" count="1" selected="0">
            <x v="177"/>
          </reference>
          <reference field="1" count="1" selected="0">
            <x v="120"/>
          </reference>
          <reference field="3" count="1">
            <x v="149"/>
          </reference>
        </references>
      </pivotArea>
    </format>
    <format dxfId="744">
      <pivotArea collapsedLevelsAreSubtotals="1" fieldPosition="0">
        <references count="1">
          <reference field="0" count="1">
            <x v="178"/>
          </reference>
        </references>
      </pivotArea>
    </format>
    <format dxfId="743">
      <pivotArea collapsedLevelsAreSubtotals="1" fieldPosition="0">
        <references count="2">
          <reference field="0" count="1" selected="0">
            <x v="178"/>
          </reference>
          <reference field="1" count="1">
            <x v="8"/>
          </reference>
        </references>
      </pivotArea>
    </format>
    <format dxfId="742">
      <pivotArea collapsedLevelsAreSubtotals="1" fieldPosition="0">
        <references count="3">
          <reference field="0" count="1" selected="0">
            <x v="178"/>
          </reference>
          <reference field="1" count="1" selected="0">
            <x v="8"/>
          </reference>
          <reference field="3" count="1">
            <x v="141"/>
          </reference>
        </references>
      </pivotArea>
    </format>
    <format dxfId="741">
      <pivotArea collapsedLevelsAreSubtotals="1" fieldPosition="0">
        <references count="1">
          <reference field="0" count="1">
            <x v="179"/>
          </reference>
        </references>
      </pivotArea>
    </format>
    <format dxfId="740">
      <pivotArea collapsedLevelsAreSubtotals="1" fieldPosition="0">
        <references count="2">
          <reference field="0" count="1" selected="0">
            <x v="179"/>
          </reference>
          <reference field="1" count="1">
            <x v="94"/>
          </reference>
        </references>
      </pivotArea>
    </format>
    <format dxfId="739">
      <pivotArea collapsedLevelsAreSubtotals="1" fieldPosition="0">
        <references count="3">
          <reference field="0" count="1" selected="0">
            <x v="179"/>
          </reference>
          <reference field="1" count="1" selected="0">
            <x v="94"/>
          </reference>
          <reference field="3" count="1">
            <x v="141"/>
          </reference>
        </references>
      </pivotArea>
    </format>
    <format dxfId="738">
      <pivotArea collapsedLevelsAreSubtotals="1" fieldPosition="0">
        <references count="1">
          <reference field="0" count="1">
            <x v="180"/>
          </reference>
        </references>
      </pivotArea>
    </format>
    <format dxfId="737">
      <pivotArea collapsedLevelsAreSubtotals="1" fieldPosition="0">
        <references count="2">
          <reference field="0" count="1" selected="0">
            <x v="180"/>
          </reference>
          <reference field="1" count="1">
            <x v="111"/>
          </reference>
        </references>
      </pivotArea>
    </format>
    <format dxfId="736">
      <pivotArea collapsedLevelsAreSubtotals="1" fieldPosition="0">
        <references count="3">
          <reference field="0" count="1" selected="0">
            <x v="180"/>
          </reference>
          <reference field="1" count="1" selected="0">
            <x v="111"/>
          </reference>
          <reference field="3" count="1">
            <x v="114"/>
          </reference>
        </references>
      </pivotArea>
    </format>
    <format dxfId="735">
      <pivotArea collapsedLevelsAreSubtotals="1" fieldPosition="0">
        <references count="1">
          <reference field="0" count="1">
            <x v="181"/>
          </reference>
        </references>
      </pivotArea>
    </format>
    <format dxfId="734">
      <pivotArea collapsedLevelsAreSubtotals="1" fieldPosition="0">
        <references count="2">
          <reference field="0" count="1" selected="0">
            <x v="181"/>
          </reference>
          <reference field="1" count="1">
            <x v="53"/>
          </reference>
        </references>
      </pivotArea>
    </format>
    <format dxfId="733">
      <pivotArea collapsedLevelsAreSubtotals="1" fieldPosition="0">
        <references count="3">
          <reference field="0" count="1" selected="0">
            <x v="181"/>
          </reference>
          <reference field="1" count="1" selected="0">
            <x v="53"/>
          </reference>
          <reference field="3" count="1">
            <x v="140"/>
          </reference>
        </references>
      </pivotArea>
    </format>
    <format dxfId="732">
      <pivotArea collapsedLevelsAreSubtotals="1" fieldPosition="0">
        <references count="1">
          <reference field="0" count="1">
            <x v="182"/>
          </reference>
        </references>
      </pivotArea>
    </format>
    <format dxfId="731">
      <pivotArea collapsedLevelsAreSubtotals="1" fieldPosition="0">
        <references count="2">
          <reference field="0" count="1" selected="0">
            <x v="182"/>
          </reference>
          <reference field="1" count="1">
            <x v="55"/>
          </reference>
        </references>
      </pivotArea>
    </format>
    <format dxfId="730">
      <pivotArea collapsedLevelsAreSubtotals="1" fieldPosition="0">
        <references count="3">
          <reference field="0" count="1" selected="0">
            <x v="182"/>
          </reference>
          <reference field="1" count="1" selected="0">
            <x v="55"/>
          </reference>
          <reference field="3" count="1">
            <x v="147"/>
          </reference>
        </references>
      </pivotArea>
    </format>
    <format dxfId="729">
      <pivotArea collapsedLevelsAreSubtotals="1" fieldPosition="0">
        <references count="1">
          <reference field="0" count="1">
            <x v="183"/>
          </reference>
        </references>
      </pivotArea>
    </format>
    <format dxfId="728">
      <pivotArea collapsedLevelsAreSubtotals="1" fieldPosition="0">
        <references count="2">
          <reference field="0" count="1" selected="0">
            <x v="183"/>
          </reference>
          <reference field="1" count="1">
            <x v="93"/>
          </reference>
        </references>
      </pivotArea>
    </format>
    <format dxfId="727">
      <pivotArea collapsedLevelsAreSubtotals="1" fieldPosition="0">
        <references count="3">
          <reference field="0" count="1" selected="0">
            <x v="183"/>
          </reference>
          <reference field="1" count="1" selected="0">
            <x v="93"/>
          </reference>
          <reference field="3" count="1">
            <x v="139"/>
          </reference>
        </references>
      </pivotArea>
    </format>
    <format dxfId="726">
      <pivotArea collapsedLevelsAreSubtotals="1" fieldPosition="0">
        <references count="1">
          <reference field="0" count="1">
            <x v="184"/>
          </reference>
        </references>
      </pivotArea>
    </format>
    <format dxfId="725">
      <pivotArea collapsedLevelsAreSubtotals="1" fieldPosition="0">
        <references count="2">
          <reference field="0" count="1" selected="0">
            <x v="184"/>
          </reference>
          <reference field="1" count="1">
            <x v="60"/>
          </reference>
        </references>
      </pivotArea>
    </format>
    <format dxfId="724">
      <pivotArea collapsedLevelsAreSubtotals="1" fieldPosition="0">
        <references count="3">
          <reference field="0" count="1" selected="0">
            <x v="184"/>
          </reference>
          <reference field="1" count="1" selected="0">
            <x v="60"/>
          </reference>
          <reference field="3" count="1">
            <x v="146"/>
          </reference>
        </references>
      </pivotArea>
    </format>
    <format dxfId="723">
      <pivotArea collapsedLevelsAreSubtotals="1" fieldPosition="0">
        <references count="1">
          <reference field="0" count="1">
            <x v="188"/>
          </reference>
        </references>
      </pivotArea>
    </format>
    <format dxfId="722">
      <pivotArea collapsedLevelsAreSubtotals="1" fieldPosition="0">
        <references count="2">
          <reference field="0" count="1" selected="0">
            <x v="188"/>
          </reference>
          <reference field="1" count="1">
            <x v="113"/>
          </reference>
        </references>
      </pivotArea>
    </format>
    <format dxfId="721">
      <pivotArea collapsedLevelsAreSubtotals="1" fieldPosition="0">
        <references count="3">
          <reference field="0" count="1" selected="0">
            <x v="188"/>
          </reference>
          <reference field="1" count="1" selected="0">
            <x v="113"/>
          </reference>
          <reference field="3" count="1">
            <x v="136"/>
          </reference>
        </references>
      </pivotArea>
    </format>
    <format dxfId="720">
      <pivotArea collapsedLevelsAreSubtotals="1" fieldPosition="0">
        <references count="1">
          <reference field="0" count="1">
            <x v="189"/>
          </reference>
        </references>
      </pivotArea>
    </format>
    <format dxfId="719">
      <pivotArea collapsedLevelsAreSubtotals="1" fieldPosition="0">
        <references count="2">
          <reference field="0" count="1" selected="0">
            <x v="189"/>
          </reference>
          <reference field="1" count="1">
            <x v="4"/>
          </reference>
        </references>
      </pivotArea>
    </format>
    <format dxfId="718">
      <pivotArea collapsedLevelsAreSubtotals="1" fieldPosition="0">
        <references count="3">
          <reference field="0" count="1" selected="0">
            <x v="189"/>
          </reference>
          <reference field="1" count="1" selected="0">
            <x v="4"/>
          </reference>
          <reference field="3" count="1">
            <x v="110"/>
          </reference>
        </references>
      </pivotArea>
    </format>
    <format dxfId="717">
      <pivotArea collapsedLevelsAreSubtotals="1" fieldPosition="0">
        <references count="1">
          <reference field="0" count="1">
            <x v="190"/>
          </reference>
        </references>
      </pivotArea>
    </format>
    <format dxfId="716">
      <pivotArea collapsedLevelsAreSubtotals="1" fieldPosition="0">
        <references count="2">
          <reference field="0" count="1" selected="0">
            <x v="190"/>
          </reference>
          <reference field="1" count="1">
            <x v="49"/>
          </reference>
        </references>
      </pivotArea>
    </format>
    <format dxfId="715">
      <pivotArea collapsedLevelsAreSubtotals="1" fieldPosition="0">
        <references count="3">
          <reference field="0" count="1" selected="0">
            <x v="190"/>
          </reference>
          <reference field="1" count="1" selected="0">
            <x v="49"/>
          </reference>
          <reference field="3" count="1">
            <x v="72"/>
          </reference>
        </references>
      </pivotArea>
    </format>
    <format dxfId="714">
      <pivotArea collapsedLevelsAreSubtotals="1" fieldPosition="0">
        <references count="1">
          <reference field="0" count="1">
            <x v="191"/>
          </reference>
        </references>
      </pivotArea>
    </format>
    <format dxfId="713">
      <pivotArea collapsedLevelsAreSubtotals="1" fieldPosition="0">
        <references count="2">
          <reference field="0" count="1" selected="0">
            <x v="191"/>
          </reference>
          <reference field="1" count="1">
            <x v="154"/>
          </reference>
        </references>
      </pivotArea>
    </format>
    <format dxfId="712">
      <pivotArea collapsedLevelsAreSubtotals="1" fieldPosition="0">
        <references count="3">
          <reference field="0" count="1" selected="0">
            <x v="191"/>
          </reference>
          <reference field="1" count="1" selected="0">
            <x v="154"/>
          </reference>
          <reference field="3" count="1">
            <x v="115"/>
          </reference>
        </references>
      </pivotArea>
    </format>
    <format dxfId="711">
      <pivotArea collapsedLevelsAreSubtotals="1" fieldPosition="0">
        <references count="1">
          <reference field="0" count="1">
            <x v="192"/>
          </reference>
        </references>
      </pivotArea>
    </format>
    <format dxfId="710">
      <pivotArea collapsedLevelsAreSubtotals="1" fieldPosition="0">
        <references count="2">
          <reference field="0" count="1" selected="0">
            <x v="192"/>
          </reference>
          <reference field="1" count="1">
            <x v="112"/>
          </reference>
        </references>
      </pivotArea>
    </format>
    <format dxfId="709">
      <pivotArea collapsedLevelsAreSubtotals="1" fieldPosition="0">
        <references count="3">
          <reference field="0" count="1" selected="0">
            <x v="192"/>
          </reference>
          <reference field="1" count="1" selected="0">
            <x v="112"/>
          </reference>
          <reference field="3" count="1">
            <x v="103"/>
          </reference>
        </references>
      </pivotArea>
    </format>
    <format dxfId="708">
      <pivotArea collapsedLevelsAreSubtotals="1" fieldPosition="0">
        <references count="1">
          <reference field="0" count="1">
            <x v="193"/>
          </reference>
        </references>
      </pivotArea>
    </format>
    <format dxfId="707">
      <pivotArea collapsedLevelsAreSubtotals="1" fieldPosition="0">
        <references count="2">
          <reference field="0" count="1" selected="0">
            <x v="193"/>
          </reference>
          <reference field="1" count="1">
            <x v="148"/>
          </reference>
        </references>
      </pivotArea>
    </format>
    <format dxfId="706">
      <pivotArea collapsedLevelsAreSubtotals="1" fieldPosition="0">
        <references count="3">
          <reference field="0" count="1" selected="0">
            <x v="193"/>
          </reference>
          <reference field="1" count="1" selected="0">
            <x v="148"/>
          </reference>
          <reference field="3" count="1">
            <x v="106"/>
          </reference>
        </references>
      </pivotArea>
    </format>
    <format dxfId="705">
      <pivotArea collapsedLevelsAreSubtotals="1" fieldPosition="0">
        <references count="1">
          <reference field="0" count="1">
            <x v="194"/>
          </reference>
        </references>
      </pivotArea>
    </format>
    <format dxfId="704">
      <pivotArea collapsedLevelsAreSubtotals="1" fieldPosition="0">
        <references count="2">
          <reference field="0" count="1" selected="0">
            <x v="194"/>
          </reference>
          <reference field="1" count="1">
            <x v="138"/>
          </reference>
        </references>
      </pivotArea>
    </format>
    <format dxfId="703">
      <pivotArea collapsedLevelsAreSubtotals="1" fieldPosition="0">
        <references count="3">
          <reference field="0" count="1" selected="0">
            <x v="194"/>
          </reference>
          <reference field="1" count="1" selected="0">
            <x v="138"/>
          </reference>
          <reference field="3" count="1">
            <x v="137"/>
          </reference>
        </references>
      </pivotArea>
    </format>
    <format dxfId="702">
      <pivotArea collapsedLevelsAreSubtotals="1" fieldPosition="0">
        <references count="1">
          <reference field="0" count="1">
            <x v="195"/>
          </reference>
        </references>
      </pivotArea>
    </format>
    <format dxfId="701">
      <pivotArea collapsedLevelsAreSubtotals="1" fieldPosition="0">
        <references count="2">
          <reference field="0" count="1" selected="0">
            <x v="195"/>
          </reference>
          <reference field="1" count="1">
            <x v="71"/>
          </reference>
        </references>
      </pivotArea>
    </format>
    <format dxfId="700">
      <pivotArea collapsedLevelsAreSubtotals="1" fieldPosition="0">
        <references count="3">
          <reference field="0" count="1" selected="0">
            <x v="195"/>
          </reference>
          <reference field="1" count="1" selected="0">
            <x v="71"/>
          </reference>
          <reference field="3" count="1">
            <x v="111"/>
          </reference>
        </references>
      </pivotArea>
    </format>
    <format dxfId="699">
      <pivotArea collapsedLevelsAreSubtotals="1" fieldPosition="0">
        <references count="1">
          <reference field="0" count="1">
            <x v="198"/>
          </reference>
        </references>
      </pivotArea>
    </format>
    <format dxfId="698">
      <pivotArea collapsedLevelsAreSubtotals="1" fieldPosition="0">
        <references count="2">
          <reference field="0" count="1" selected="0">
            <x v="198"/>
          </reference>
          <reference field="1" count="1">
            <x v="68"/>
          </reference>
        </references>
      </pivotArea>
    </format>
    <format dxfId="697">
      <pivotArea collapsedLevelsAreSubtotals="1" fieldPosition="0">
        <references count="3">
          <reference field="0" count="1" selected="0">
            <x v="198"/>
          </reference>
          <reference field="1" count="1" selected="0">
            <x v="68"/>
          </reference>
          <reference field="3" count="1">
            <x v="179"/>
          </reference>
        </references>
      </pivotArea>
    </format>
    <format dxfId="696">
      <pivotArea collapsedLevelsAreSubtotals="1" fieldPosition="0">
        <references count="1">
          <reference field="0" count="1">
            <x v="199"/>
          </reference>
        </references>
      </pivotArea>
    </format>
    <format dxfId="695">
      <pivotArea collapsedLevelsAreSubtotals="1" fieldPosition="0">
        <references count="2">
          <reference field="0" count="1" selected="0">
            <x v="199"/>
          </reference>
          <reference field="1" count="1">
            <x v="1"/>
          </reference>
        </references>
      </pivotArea>
    </format>
    <format dxfId="694">
      <pivotArea collapsedLevelsAreSubtotals="1" fieldPosition="0">
        <references count="3">
          <reference field="0" count="1" selected="0">
            <x v="199"/>
          </reference>
          <reference field="1" count="1" selected="0">
            <x v="1"/>
          </reference>
          <reference field="3" count="1">
            <x v="66"/>
          </reference>
        </references>
      </pivotArea>
    </format>
    <format dxfId="693">
      <pivotArea collapsedLevelsAreSubtotals="1" fieldPosition="0">
        <references count="1">
          <reference field="0" count="1">
            <x v="201"/>
          </reference>
        </references>
      </pivotArea>
    </format>
    <format dxfId="692">
      <pivotArea collapsedLevelsAreSubtotals="1" fieldPosition="0">
        <references count="2">
          <reference field="0" count="1" selected="0">
            <x v="201"/>
          </reference>
          <reference field="1" count="1">
            <x v="114"/>
          </reference>
        </references>
      </pivotArea>
    </format>
    <format dxfId="691">
      <pivotArea collapsedLevelsAreSubtotals="1" fieldPosition="0">
        <references count="3">
          <reference field="0" count="1" selected="0">
            <x v="201"/>
          </reference>
          <reference field="1" count="1" selected="0">
            <x v="114"/>
          </reference>
          <reference field="3" count="1">
            <x v="176"/>
          </reference>
        </references>
      </pivotArea>
    </format>
    <format dxfId="690">
      <pivotArea collapsedLevelsAreSubtotals="1" fieldPosition="0">
        <references count="1">
          <reference field="0" count="1">
            <x v="202"/>
          </reference>
        </references>
      </pivotArea>
    </format>
    <format dxfId="689">
      <pivotArea collapsedLevelsAreSubtotals="1" fieldPosition="0">
        <references count="2">
          <reference field="0" count="1" selected="0">
            <x v="202"/>
          </reference>
          <reference field="1" count="1">
            <x v="70"/>
          </reference>
        </references>
      </pivotArea>
    </format>
    <format dxfId="688">
      <pivotArea collapsedLevelsAreSubtotals="1" fieldPosition="0">
        <references count="3">
          <reference field="0" count="1" selected="0">
            <x v="202"/>
          </reference>
          <reference field="1" count="1" selected="0">
            <x v="70"/>
          </reference>
          <reference field="3" count="1">
            <x v="104"/>
          </reference>
        </references>
      </pivotArea>
    </format>
    <format dxfId="687">
      <pivotArea collapsedLevelsAreSubtotals="1" fieldPosition="0">
        <references count="1">
          <reference field="0" count="1">
            <x v="204"/>
          </reference>
        </references>
      </pivotArea>
    </format>
    <format dxfId="686">
      <pivotArea collapsedLevelsAreSubtotals="1" fieldPosition="0">
        <references count="2">
          <reference field="0" count="1" selected="0">
            <x v="204"/>
          </reference>
          <reference field="1" count="1">
            <x v="160"/>
          </reference>
        </references>
      </pivotArea>
    </format>
    <format dxfId="685">
      <pivotArea collapsedLevelsAreSubtotals="1" fieldPosition="0">
        <references count="3">
          <reference field="0" count="1" selected="0">
            <x v="204"/>
          </reference>
          <reference field="1" count="1" selected="0">
            <x v="160"/>
          </reference>
          <reference field="3" count="1">
            <x v="95"/>
          </reference>
        </references>
      </pivotArea>
    </format>
    <format dxfId="684">
      <pivotArea collapsedLevelsAreSubtotals="1" fieldPosition="0">
        <references count="1">
          <reference field="0" count="1">
            <x v="205"/>
          </reference>
        </references>
      </pivotArea>
    </format>
    <format dxfId="683">
      <pivotArea collapsedLevelsAreSubtotals="1" fieldPosition="0">
        <references count="2">
          <reference field="0" count="1" selected="0">
            <x v="205"/>
          </reference>
          <reference field="1" count="1">
            <x v="158"/>
          </reference>
        </references>
      </pivotArea>
    </format>
    <format dxfId="682">
      <pivotArea collapsedLevelsAreSubtotals="1" fieldPosition="0">
        <references count="3">
          <reference field="0" count="1" selected="0">
            <x v="205"/>
          </reference>
          <reference field="1" count="1" selected="0">
            <x v="158"/>
          </reference>
          <reference field="3" count="1">
            <x v="34"/>
          </reference>
        </references>
      </pivotArea>
    </format>
    <format dxfId="681">
      <pivotArea collapsedLevelsAreSubtotals="1" fieldPosition="0">
        <references count="1">
          <reference field="0" count="1">
            <x v="207"/>
          </reference>
        </references>
      </pivotArea>
    </format>
    <format dxfId="680">
      <pivotArea collapsedLevelsAreSubtotals="1" fieldPosition="0">
        <references count="2">
          <reference field="0" count="1" selected="0">
            <x v="207"/>
          </reference>
          <reference field="1" count="1">
            <x v="157"/>
          </reference>
        </references>
      </pivotArea>
    </format>
    <format dxfId="679">
      <pivotArea collapsedLevelsAreSubtotals="1" fieldPosition="0">
        <references count="3">
          <reference field="0" count="1" selected="0">
            <x v="207"/>
          </reference>
          <reference field="1" count="1" selected="0">
            <x v="157"/>
          </reference>
          <reference field="3" count="1">
            <x v="184"/>
          </reference>
        </references>
      </pivotArea>
    </format>
    <format dxfId="678">
      <pivotArea collapsedLevelsAreSubtotals="1" fieldPosition="0">
        <references count="1">
          <reference field="0" count="1">
            <x v="209"/>
          </reference>
        </references>
      </pivotArea>
    </format>
    <format dxfId="677">
      <pivotArea collapsedLevelsAreSubtotals="1" fieldPosition="0">
        <references count="2">
          <reference field="0" count="1" selected="0">
            <x v="209"/>
          </reference>
          <reference field="1" count="1">
            <x v="155"/>
          </reference>
        </references>
      </pivotArea>
    </format>
    <format dxfId="676">
      <pivotArea collapsedLevelsAreSubtotals="1" fieldPosition="0">
        <references count="3">
          <reference field="0" count="1" selected="0">
            <x v="209"/>
          </reference>
          <reference field="1" count="1" selected="0">
            <x v="155"/>
          </reference>
          <reference field="3" count="1">
            <x v="120"/>
          </reference>
        </references>
      </pivotArea>
    </format>
    <format dxfId="675">
      <pivotArea collapsedLevelsAreSubtotals="1" fieldPosition="0">
        <references count="1">
          <reference field="0" count="1">
            <x v="210"/>
          </reference>
        </references>
      </pivotArea>
    </format>
    <format dxfId="674">
      <pivotArea collapsedLevelsAreSubtotals="1" fieldPosition="0">
        <references count="2">
          <reference field="0" count="1" selected="0">
            <x v="210"/>
          </reference>
          <reference field="1" count="1">
            <x v="61"/>
          </reference>
        </references>
      </pivotArea>
    </format>
    <format dxfId="673">
      <pivotArea collapsedLevelsAreSubtotals="1" fieldPosition="0">
        <references count="3">
          <reference field="0" count="1" selected="0">
            <x v="210"/>
          </reference>
          <reference field="1" count="1" selected="0">
            <x v="61"/>
          </reference>
          <reference field="3" count="1">
            <x v="167"/>
          </reference>
        </references>
      </pivotArea>
    </format>
    <format dxfId="672">
      <pivotArea collapsedLevelsAreSubtotals="1" fieldPosition="0">
        <references count="1">
          <reference field="0" count="1">
            <x v="211"/>
          </reference>
        </references>
      </pivotArea>
    </format>
    <format dxfId="671">
      <pivotArea collapsedLevelsAreSubtotals="1" fieldPosition="0">
        <references count="2">
          <reference field="0" count="1" selected="0">
            <x v="211"/>
          </reference>
          <reference field="1" count="1">
            <x v="10"/>
          </reference>
        </references>
      </pivotArea>
    </format>
    <format dxfId="670">
      <pivotArea collapsedLevelsAreSubtotals="1" fieldPosition="0">
        <references count="3">
          <reference field="0" count="1" selected="0">
            <x v="211"/>
          </reference>
          <reference field="1" count="1" selected="0">
            <x v="10"/>
          </reference>
          <reference field="3" count="1">
            <x v="200"/>
          </reference>
        </references>
      </pivotArea>
    </format>
    <format dxfId="669">
      <pivotArea collapsedLevelsAreSubtotals="1" fieldPosition="0">
        <references count="1">
          <reference field="0" count="1">
            <x v="212"/>
          </reference>
        </references>
      </pivotArea>
    </format>
    <format dxfId="668">
      <pivotArea collapsedLevelsAreSubtotals="1" fieldPosition="0">
        <references count="2">
          <reference field="0" count="1" selected="0">
            <x v="212"/>
          </reference>
          <reference field="1" count="1">
            <x v="50"/>
          </reference>
        </references>
      </pivotArea>
    </format>
    <format dxfId="667">
      <pivotArea collapsedLevelsAreSubtotals="1" fieldPosition="0">
        <references count="3">
          <reference field="0" count="1" selected="0">
            <x v="212"/>
          </reference>
          <reference field="1" count="1" selected="0">
            <x v="50"/>
          </reference>
          <reference field="3" count="1">
            <x v="70"/>
          </reference>
        </references>
      </pivotArea>
    </format>
    <format dxfId="666">
      <pivotArea collapsedLevelsAreSubtotals="1" fieldPosition="0">
        <references count="1">
          <reference field="0" count="1">
            <x v="213"/>
          </reference>
        </references>
      </pivotArea>
    </format>
    <format dxfId="665">
      <pivotArea collapsedLevelsAreSubtotals="1" fieldPosition="0">
        <references count="2">
          <reference field="0" count="1" selected="0">
            <x v="213"/>
          </reference>
          <reference field="1" count="1">
            <x v="29"/>
          </reference>
        </references>
      </pivotArea>
    </format>
    <format dxfId="664">
      <pivotArea collapsedLevelsAreSubtotals="1" fieldPosition="0">
        <references count="3">
          <reference field="0" count="1" selected="0">
            <x v="213"/>
          </reference>
          <reference field="1" count="1" selected="0">
            <x v="29"/>
          </reference>
          <reference field="3" count="1">
            <x v="138"/>
          </reference>
        </references>
      </pivotArea>
    </format>
    <format dxfId="663">
      <pivotArea collapsedLevelsAreSubtotals="1" fieldPosition="0">
        <references count="1">
          <reference field="0" count="1">
            <x v="214"/>
          </reference>
        </references>
      </pivotArea>
    </format>
    <format dxfId="662">
      <pivotArea collapsedLevelsAreSubtotals="1" fieldPosition="0">
        <references count="2">
          <reference field="0" count="1" selected="0">
            <x v="214"/>
          </reference>
          <reference field="1" count="1">
            <x v="40"/>
          </reference>
        </references>
      </pivotArea>
    </format>
    <format dxfId="661">
      <pivotArea collapsedLevelsAreSubtotals="1" fieldPosition="0">
        <references count="3">
          <reference field="0" count="1" selected="0">
            <x v="214"/>
          </reference>
          <reference field="1" count="1" selected="0">
            <x v="40"/>
          </reference>
          <reference field="3" count="1">
            <x v="156"/>
          </reference>
        </references>
      </pivotArea>
    </format>
    <format dxfId="660">
      <pivotArea collapsedLevelsAreSubtotals="1" fieldPosition="0">
        <references count="1">
          <reference field="0" count="1">
            <x v="215"/>
          </reference>
        </references>
      </pivotArea>
    </format>
    <format dxfId="659">
      <pivotArea collapsedLevelsAreSubtotals="1" fieldPosition="0">
        <references count="2">
          <reference field="0" count="1" selected="0">
            <x v="215"/>
          </reference>
          <reference field="1" count="1">
            <x v="75"/>
          </reference>
        </references>
      </pivotArea>
    </format>
    <format dxfId="658">
      <pivotArea collapsedLevelsAreSubtotals="1" fieldPosition="0">
        <references count="3">
          <reference field="0" count="1" selected="0">
            <x v="215"/>
          </reference>
          <reference field="1" count="1" selected="0">
            <x v="75"/>
          </reference>
          <reference field="3" count="1">
            <x v="175"/>
          </reference>
        </references>
      </pivotArea>
    </format>
    <format dxfId="657">
      <pivotArea collapsedLevelsAreSubtotals="1" fieldPosition="0">
        <references count="1">
          <reference field="0" count="1">
            <x v="216"/>
          </reference>
        </references>
      </pivotArea>
    </format>
    <format dxfId="656">
      <pivotArea collapsedLevelsAreSubtotals="1" fieldPosition="0">
        <references count="2">
          <reference field="0" count="1" selected="0">
            <x v="216"/>
          </reference>
          <reference field="1" count="1">
            <x v="86"/>
          </reference>
        </references>
      </pivotArea>
    </format>
    <format dxfId="655">
      <pivotArea collapsedLevelsAreSubtotals="1" fieldPosition="0">
        <references count="3">
          <reference field="0" count="1" selected="0">
            <x v="216"/>
          </reference>
          <reference field="1" count="1" selected="0">
            <x v="86"/>
          </reference>
          <reference field="3" count="1">
            <x v="41"/>
          </reference>
        </references>
      </pivotArea>
    </format>
    <format dxfId="654">
      <pivotArea collapsedLevelsAreSubtotals="1" fieldPosition="0">
        <references count="1">
          <reference field="0" count="1">
            <x v="217"/>
          </reference>
        </references>
      </pivotArea>
    </format>
    <format dxfId="653">
      <pivotArea collapsedLevelsAreSubtotals="1" fieldPosition="0">
        <references count="2">
          <reference field="0" count="1" selected="0">
            <x v="217"/>
          </reference>
          <reference field="1" count="1">
            <x v="72"/>
          </reference>
        </references>
      </pivotArea>
    </format>
    <format dxfId="652">
      <pivotArea collapsedLevelsAreSubtotals="1" fieldPosition="0">
        <references count="3">
          <reference field="0" count="1" selected="0">
            <x v="217"/>
          </reference>
          <reference field="1" count="1" selected="0">
            <x v="72"/>
          </reference>
          <reference field="3" count="1">
            <x v="23"/>
          </reference>
        </references>
      </pivotArea>
    </format>
    <format dxfId="651">
      <pivotArea collapsedLevelsAreSubtotals="1" fieldPosition="0">
        <references count="1">
          <reference field="0" count="1">
            <x v="218"/>
          </reference>
        </references>
      </pivotArea>
    </format>
    <format dxfId="650">
      <pivotArea collapsedLevelsAreSubtotals="1" fieldPosition="0">
        <references count="2">
          <reference field="0" count="1" selected="0">
            <x v="218"/>
          </reference>
          <reference field="1" count="1">
            <x v="33"/>
          </reference>
        </references>
      </pivotArea>
    </format>
    <format dxfId="649">
      <pivotArea collapsedLevelsAreSubtotals="1" fieldPosition="0">
        <references count="3">
          <reference field="0" count="1" selected="0">
            <x v="218"/>
          </reference>
          <reference field="1" count="1" selected="0">
            <x v="33"/>
          </reference>
          <reference field="3" count="1">
            <x v="193"/>
          </reference>
        </references>
      </pivotArea>
    </format>
    <format dxfId="648">
      <pivotArea collapsedLevelsAreSubtotals="1" fieldPosition="0">
        <references count="1">
          <reference field="0" count="1">
            <x v="219"/>
          </reference>
        </references>
      </pivotArea>
    </format>
    <format dxfId="647">
      <pivotArea collapsedLevelsAreSubtotals="1" fieldPosition="0">
        <references count="2">
          <reference field="0" count="1" selected="0">
            <x v="219"/>
          </reference>
          <reference field="1" count="1">
            <x v="58"/>
          </reference>
        </references>
      </pivotArea>
    </format>
    <format dxfId="646">
      <pivotArea collapsedLevelsAreSubtotals="1" fieldPosition="0">
        <references count="3">
          <reference field="0" count="1" selected="0">
            <x v="219"/>
          </reference>
          <reference field="1" count="1" selected="0">
            <x v="58"/>
          </reference>
          <reference field="3" count="1">
            <x v="197"/>
          </reference>
        </references>
      </pivotArea>
    </format>
    <format dxfId="645">
      <pivotArea collapsedLevelsAreSubtotals="1" fieldPosition="0">
        <references count="1">
          <reference field="0" count="1">
            <x v="220"/>
          </reference>
        </references>
      </pivotArea>
    </format>
    <format dxfId="644">
      <pivotArea collapsedLevelsAreSubtotals="1" fieldPosition="0">
        <references count="2">
          <reference field="0" count="1" selected="0">
            <x v="220"/>
          </reference>
          <reference field="1" count="1">
            <x v="153"/>
          </reference>
        </references>
      </pivotArea>
    </format>
    <format dxfId="643">
      <pivotArea collapsedLevelsAreSubtotals="1" fieldPosition="0">
        <references count="3">
          <reference field="0" count="1" selected="0">
            <x v="220"/>
          </reference>
          <reference field="1" count="1" selected="0">
            <x v="153"/>
          </reference>
          <reference field="3" count="1">
            <x v="5"/>
          </reference>
        </references>
      </pivotArea>
    </format>
    <format dxfId="642">
      <pivotArea collapsedLevelsAreSubtotals="1" fieldPosition="0">
        <references count="1">
          <reference field="0" count="1">
            <x v="221"/>
          </reference>
        </references>
      </pivotArea>
    </format>
    <format dxfId="641">
      <pivotArea collapsedLevelsAreSubtotals="1" fieldPosition="0">
        <references count="2">
          <reference field="0" count="1" selected="0">
            <x v="221"/>
          </reference>
          <reference field="1" count="1">
            <x v="116"/>
          </reference>
        </references>
      </pivotArea>
    </format>
    <format dxfId="640">
      <pivotArea collapsedLevelsAreSubtotals="1" fieldPosition="0">
        <references count="3">
          <reference field="0" count="1" selected="0">
            <x v="221"/>
          </reference>
          <reference field="1" count="1" selected="0">
            <x v="116"/>
          </reference>
          <reference field="3" count="1">
            <x v="155"/>
          </reference>
        </references>
      </pivotArea>
    </format>
    <format dxfId="639">
      <pivotArea collapsedLevelsAreSubtotals="1" fieldPosition="0">
        <references count="1">
          <reference field="0" count="1">
            <x v="222"/>
          </reference>
        </references>
      </pivotArea>
    </format>
    <format dxfId="638">
      <pivotArea collapsedLevelsAreSubtotals="1" fieldPosition="0">
        <references count="2">
          <reference field="0" count="1" selected="0">
            <x v="222"/>
          </reference>
          <reference field="1" count="1">
            <x v="97"/>
          </reference>
        </references>
      </pivotArea>
    </format>
    <format dxfId="637">
      <pivotArea collapsedLevelsAreSubtotals="1" fieldPosition="0">
        <references count="3">
          <reference field="0" count="1" selected="0">
            <x v="222"/>
          </reference>
          <reference field="1" count="1" selected="0">
            <x v="97"/>
          </reference>
          <reference field="3" count="1">
            <x v="152"/>
          </reference>
        </references>
      </pivotArea>
    </format>
    <format dxfId="636">
      <pivotArea outline="0" collapsedLevelsAreSubtotals="1" fieldPosition="0"/>
    </format>
    <format dxfId="635">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34">
      <pivotArea dataOnly="0" labelOnly="1" fieldPosition="0">
        <references count="1">
          <reference field="0" count="10">
            <x v="213"/>
            <x v="214"/>
            <x v="215"/>
            <x v="216"/>
            <x v="217"/>
            <x v="218"/>
            <x v="219"/>
            <x v="220"/>
            <x v="221"/>
            <x v="222"/>
          </reference>
        </references>
      </pivotArea>
    </format>
    <format dxfId="633">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32">
      <pivotArea dataOnly="0" labelOnly="1" fieldPosition="0">
        <references count="2">
          <reference field="0" count="1" selected="0">
            <x v="213"/>
          </reference>
          <reference field="1" count="10">
            <x v="29"/>
            <x v="33"/>
            <x v="40"/>
            <x v="58"/>
            <x v="72"/>
            <x v="75"/>
            <x v="86"/>
            <x v="97"/>
            <x v="116"/>
            <x v="153"/>
          </reference>
        </references>
      </pivotArea>
    </format>
    <format dxfId="631">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30">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29">
      <pivotArea outline="0" collapsedLevelsAreSubtotals="1" fieldPosition="0"/>
    </format>
    <format dxfId="628">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27">
      <pivotArea dataOnly="0" labelOnly="1" fieldPosition="0">
        <references count="1">
          <reference field="0" count="10">
            <x v="213"/>
            <x v="214"/>
            <x v="215"/>
            <x v="216"/>
            <x v="217"/>
            <x v="218"/>
            <x v="219"/>
            <x v="220"/>
            <x v="221"/>
            <x v="222"/>
          </reference>
        </references>
      </pivotArea>
    </format>
    <format dxfId="626">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25">
      <pivotArea dataOnly="0" labelOnly="1" fieldPosition="0">
        <references count="2">
          <reference field="0" count="1" selected="0">
            <x v="213"/>
          </reference>
          <reference field="1" count="10">
            <x v="29"/>
            <x v="33"/>
            <x v="40"/>
            <x v="58"/>
            <x v="72"/>
            <x v="75"/>
            <x v="86"/>
            <x v="97"/>
            <x v="116"/>
            <x v="153"/>
          </reference>
        </references>
      </pivotArea>
    </format>
    <format dxfId="624">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23">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22">
      <pivotArea field="0" type="button" dataOnly="0" labelOnly="1" outline="0" axis="axisRow" fieldPosition="0"/>
    </format>
    <format dxfId="621">
      <pivotArea dataOnly="0" labelOnly="1" outline="0" fieldPosition="0">
        <references count="1">
          <reference field="4294967294" count="5">
            <x v="0"/>
            <x v="1"/>
            <x v="2"/>
            <x v="3"/>
            <x v="4"/>
          </reference>
        </references>
      </pivotArea>
    </format>
    <format dxfId="620">
      <pivotArea field="0" type="button" dataOnly="0" labelOnly="1" outline="0" axis="axisRow" fieldPosition="0"/>
    </format>
    <format dxfId="619">
      <pivotArea dataOnly="0" labelOnly="1" outline="0" fieldPosition="0">
        <references count="1">
          <reference field="4294967294" count="5">
            <x v="0"/>
            <x v="1"/>
            <x v="2"/>
            <x v="3"/>
            <x v="4"/>
          </reference>
        </references>
      </pivotArea>
    </format>
    <format dxfId="618">
      <pivotArea field="21" type="button" dataOnly="0" labelOnly="1" outline="0" axis="axisPage" fieldPosition="0"/>
    </format>
    <format dxfId="617">
      <pivotArea dataOnly="0" labelOnly="1" outline="0" fieldPosition="0">
        <references count="1">
          <reference field="21" count="0"/>
        </references>
      </pivotArea>
    </format>
    <format dxfId="616">
      <pivotArea field="24" type="button" dataOnly="0" labelOnly="1" outline="0" axis="axisPage" fieldPosition="1"/>
    </format>
    <format dxfId="615">
      <pivotArea dataOnly="0" labelOnly="1" outline="0" fieldPosition="0">
        <references count="1">
          <reference field="24" count="0"/>
        </references>
      </pivotArea>
    </format>
    <format dxfId="614">
      <pivotArea field="21" type="button" dataOnly="0" labelOnly="1" outline="0" axis="axisPage" fieldPosition="0"/>
    </format>
    <format dxfId="613">
      <pivotArea dataOnly="0" labelOnly="1" outline="0" fieldPosition="0">
        <references count="1">
          <reference field="21" count="0"/>
        </references>
      </pivotArea>
    </format>
    <format dxfId="612">
      <pivotArea field="24" type="button" dataOnly="0" labelOnly="1" outline="0" axis="axisPage" fieldPosition="1"/>
    </format>
    <format dxfId="611">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610">
      <pivotArea outline="0" collapsedLevelsAreSubtotals="1" fieldPosition="0">
        <references count="1">
          <reference field="4294967294" count="3" selected="0">
            <x v="1"/>
            <x v="2"/>
            <x v="3"/>
          </reference>
        </references>
      </pivotArea>
    </format>
    <format dxfId="609">
      <pivotArea dataOnly="0" labelOnly="1" outline="0" fieldPosition="0">
        <references count="1">
          <reference field="24" count="0"/>
        </references>
      </pivotArea>
    </format>
    <format dxfId="608">
      <pivotArea dataOnly="0" labelOnly="1" outline="0" fieldPosition="0">
        <references count="1">
          <reference field="4294967294" count="3">
            <x v="1"/>
            <x v="2"/>
            <x v="3"/>
          </reference>
        </references>
      </pivotArea>
    </format>
    <format dxfId="607">
      <pivotArea outline="0" collapsedLevelsAreSubtotals="1" fieldPosition="0">
        <references count="1">
          <reference field="4294967294" count="1" selected="0">
            <x v="4"/>
          </reference>
        </references>
      </pivotArea>
    </format>
    <format dxfId="606">
      <pivotArea dataOnly="0" labelOnly="1" outline="0" fieldPosition="0">
        <references count="1">
          <reference field="4294967294" count="1">
            <x v="4"/>
          </reference>
        </references>
      </pivotArea>
    </format>
    <format dxfId="605">
      <pivotArea dataOnly="0" labelOnly="1" outline="0" fieldPosition="0">
        <references count="1">
          <reference field="21" count="0"/>
        </references>
      </pivotArea>
    </format>
    <format dxfId="604">
      <pivotArea field="0" type="button" dataOnly="0" labelOnly="1" outline="0" axis="axisRow" fieldPosition="0"/>
    </format>
    <format dxfId="603">
      <pivotArea dataOnly="0" labelOnly="1" outline="0" fieldPosition="0">
        <references count="1">
          <reference field="4294967294" count="5">
            <x v="0"/>
            <x v="1"/>
            <x v="2"/>
            <x v="3"/>
            <x v="4"/>
          </reference>
        </references>
      </pivotArea>
    </format>
    <format dxfId="602">
      <pivotArea field="0" type="button" dataOnly="0" labelOnly="1" outline="0" axis="axisRow" fieldPosition="0"/>
    </format>
    <format dxfId="601">
      <pivotArea dataOnly="0" labelOnly="1" outline="0" fieldPosition="0">
        <references count="1">
          <reference field="4294967294" count="5">
            <x v="0"/>
            <x v="1"/>
            <x v="2"/>
            <x v="3"/>
            <x v="4"/>
          </reference>
        </references>
      </pivotArea>
    </format>
    <format dxfId="600">
      <pivotArea field="0" type="button" dataOnly="0" labelOnly="1" outline="0" axis="axisRow" fieldPosition="0"/>
    </format>
    <format dxfId="599">
      <pivotArea dataOnly="0" labelOnly="1" outline="0" fieldPosition="0">
        <references count="1">
          <reference field="4294967294" count="5">
            <x v="0"/>
            <x v="1"/>
            <x v="2"/>
            <x v="3"/>
            <x v="4"/>
          </reference>
        </references>
      </pivotArea>
    </format>
    <format dxfId="598">
      <pivotArea outline="0" fieldPosition="0">
        <references count="1">
          <reference field="4294967294" count="1">
            <x v="0"/>
          </reference>
        </references>
      </pivotArea>
    </format>
    <format dxfId="597">
      <pivotArea type="all" dataOnly="0" outline="0" fieldPosition="0"/>
    </format>
    <format dxfId="596">
      <pivotArea type="all" dataOnly="0" outline="0" fieldPosition="0"/>
    </format>
    <format dxfId="595">
      <pivotArea outline="0" collapsedLevelsAreSubtotals="1" fieldPosition="0">
        <references count="1">
          <reference field="4294967294" count="1" selected="0">
            <x v="0"/>
          </reference>
        </references>
      </pivotArea>
    </format>
    <format dxfId="594">
      <pivotArea dataOnly="0" labelOnly="1" outline="0" fieldPosition="0">
        <references count="1">
          <reference field="24" count="0"/>
        </references>
      </pivotArea>
    </format>
    <format dxfId="593">
      <pivotArea dataOnly="0" labelOnly="1" outline="0" fieldPosition="0">
        <references count="1">
          <reference field="21" count="0"/>
        </references>
      </pivotArea>
    </format>
    <format dxfId="59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40"/>
        <item m="1" x="213"/>
        <item m="1" x="140"/>
        <item m="1" x="205"/>
        <item m="1" x="248"/>
        <item m="1" x="184"/>
        <item m="1" x="186"/>
        <item m="1" x="215"/>
        <item m="1" x="266"/>
        <item m="1" x="233"/>
        <item x="5"/>
        <item m="1" x="138"/>
        <item m="1" x="327"/>
        <item m="1" x="226"/>
        <item m="1" x="263"/>
        <item m="1" x="167"/>
        <item m="1" x="236"/>
        <item m="1" x="158"/>
        <item m="1" x="202"/>
        <item m="1" x="234"/>
        <item m="1" x="311"/>
        <item m="1" x="149"/>
        <item m="1" x="131"/>
        <item x="66"/>
        <item m="1" x="115"/>
        <item m="1" x="247"/>
        <item m="1" x="283"/>
        <item m="1" x="239"/>
        <item m="1" x="146"/>
        <item x="73"/>
        <item x="83"/>
        <item m="1" x="180"/>
        <item m="1" x="278"/>
        <item m="1" x="176"/>
        <item m="1" x="188"/>
        <item m="1" x="204"/>
        <item m="1" x="209"/>
        <item m="1" x="284"/>
        <item m="1" x="321"/>
        <item x="105"/>
        <item m="1" x="315"/>
        <item m="1" x="318"/>
        <item m="1" x="249"/>
        <item m="1" x="152"/>
        <item m="1" x="300"/>
        <item m="1" x="231"/>
        <item m="1" x="160"/>
        <item m="1" x="330"/>
        <item m="1" x="243"/>
        <item m="1" x="299"/>
        <item m="1" x="134"/>
        <item m="1" x="200"/>
        <item x="48"/>
        <item m="1" x="259"/>
        <item m="1" x="114"/>
        <item x="97"/>
        <item m="1" x="230"/>
        <item x="85"/>
        <item m="1" x="136"/>
        <item m="1" x="162"/>
        <item x="50"/>
        <item m="1" x="165"/>
        <item m="1" x="225"/>
        <item m="1" x="194"/>
        <item m="1" x="119"/>
        <item m="1" x="110"/>
        <item m="1" x="163"/>
        <item m="1" x="301"/>
        <item m="1" x="187"/>
        <item m="1" x="109"/>
        <item m="1" x="305"/>
        <item m="1" x="118"/>
        <item x="72"/>
        <item m="1" x="289"/>
        <item m="1" x="290"/>
        <item m="1" x="121"/>
        <item m="1" x="304"/>
        <item m="1" x="128"/>
        <item m="1" x="246"/>
        <item m="1" x="267"/>
        <item m="1" x="272"/>
        <item m="1" x="220"/>
        <item x="22"/>
        <item m="1" x="161"/>
        <item m="1" x="179"/>
        <item m="1" x="275"/>
        <item m="1" x="319"/>
        <item m="1" x="183"/>
        <item m="1" x="295"/>
        <item x="27"/>
        <item x="100"/>
        <item m="1" x="137"/>
        <item x="44"/>
        <item x="60"/>
        <item m="1" x="216"/>
        <item m="1" x="113"/>
        <item x="84"/>
        <item m="1" x="277"/>
        <item m="1" x="203"/>
        <item m="1" x="323"/>
        <item m="1" x="175"/>
        <item m="1" x="169"/>
        <item x="57"/>
        <item m="1" x="219"/>
        <item m="1" x="210"/>
        <item m="1" x="317"/>
        <item m="1" x="325"/>
        <item m="1" x="302"/>
        <item m="1" x="127"/>
        <item m="1" x="288"/>
        <item m="1" x="286"/>
        <item m="1" x="273"/>
        <item m="1" x="150"/>
        <item m="1" x="245"/>
        <item x="79"/>
        <item m="1" x="306"/>
        <item x="104"/>
        <item m="1" x="206"/>
        <item m="1" x="198"/>
        <item m="1" x="280"/>
        <item x="80"/>
        <item m="1" x="244"/>
        <item m="1" x="326"/>
        <item m="1" x="293"/>
        <item m="1" x="276"/>
        <item m="1" x="214"/>
        <item m="1" x="124"/>
        <item m="1" x="135"/>
        <item m="1" x="316"/>
        <item m="1" x="155"/>
        <item m="1" x="182"/>
        <item m="1" x="328"/>
        <item m="1" x="269"/>
        <item m="1" x="250"/>
        <item m="1" x="251"/>
        <item m="1" x="222"/>
        <item m="1" x="199"/>
        <item m="1" x="133"/>
        <item m="1" x="139"/>
        <item m="1" x="281"/>
        <item m="1" x="270"/>
        <item m="1" x="143"/>
        <item m="1" x="258"/>
        <item m="1" x="178"/>
        <item m="1" x="322"/>
        <item m="1" x="141"/>
        <item x="102"/>
        <item m="1" x="185"/>
        <item m="1" x="112"/>
        <item m="1" x="208"/>
        <item m="1" x="147"/>
        <item m="1" x="309"/>
        <item m="1" x="196"/>
        <item m="1" x="310"/>
        <item m="1" x="217"/>
        <item m="1" x="279"/>
        <item m="1" x="287"/>
        <item x="94"/>
        <item m="1" x="153"/>
        <item m="1" x="168"/>
        <item m="1" x="320"/>
        <item m="1" x="298"/>
        <item m="1" x="255"/>
        <item m="1" x="120"/>
        <item m="1" x="297"/>
        <item x="24"/>
        <item m="1" x="145"/>
        <item x="59"/>
        <item m="1" x="253"/>
        <item m="1" x="229"/>
        <item m="1" x="129"/>
        <item m="1" x="212"/>
        <item x="68"/>
        <item m="1" x="159"/>
        <item m="1" x="190"/>
        <item m="1" x="271"/>
        <item m="1" x="144"/>
        <item m="1" x="262"/>
        <item m="1" x="181"/>
        <item m="1" x="171"/>
        <item x="69"/>
        <item m="1" x="195"/>
        <item m="1" x="313"/>
        <item m="1" x="126"/>
        <item x="11"/>
        <item m="1" x="291"/>
        <item m="1" x="116"/>
        <item m="1" x="192"/>
        <item m="1" x="314"/>
        <item m="1" x="227"/>
        <item m="1" x="173"/>
        <item m="1" x="256"/>
        <item m="1" x="108"/>
        <item x="8"/>
        <item m="1" x="268"/>
        <item m="1" x="111"/>
        <item m="1" x="157"/>
        <item x="10"/>
        <item m="1" x="238"/>
        <item m="1" x="241"/>
        <item x="34"/>
        <item m="1" x="254"/>
        <item m="1" x="265"/>
        <item x="20"/>
        <item x="29"/>
        <item x="45"/>
        <item m="1" x="122"/>
        <item m="1" x="235"/>
        <item m="1" x="264"/>
        <item m="1" x="228"/>
        <item x="38"/>
        <item m="1" x="237"/>
        <item x="0"/>
        <item m="1" x="166"/>
        <item x="51"/>
        <item m="1" x="117"/>
        <item m="1" x="292"/>
        <item m="1" x="197"/>
        <item m="1" x="221"/>
        <item m="1" x="125"/>
        <item m="1" x="148"/>
        <item m="1" x="189"/>
        <item m="1" x="164"/>
        <item x="19"/>
        <item m="1" x="324"/>
        <item m="1" x="282"/>
        <item x="81"/>
        <item x="12"/>
        <item m="1" x="132"/>
        <item m="1" x="285"/>
        <item m="1" x="191"/>
        <item m="1" x="156"/>
        <item x="36"/>
        <item m="1" x="329"/>
        <item m="1" x="170"/>
        <item m="1" x="193"/>
        <item m="1" x="257"/>
        <item m="1" x="174"/>
        <item m="1" x="223"/>
        <item x="23"/>
        <item x="91"/>
        <item x="103"/>
        <item m="1" x="142"/>
        <item x="33"/>
        <item x="95"/>
        <item m="1" x="207"/>
        <item m="1" x="201"/>
        <item x="62"/>
        <item m="1" x="312"/>
        <item m="1" x="211"/>
        <item x="31"/>
        <item m="1" x="130"/>
        <item x="74"/>
        <item x="4"/>
        <item x="30"/>
        <item m="1" x="151"/>
        <item m="1" x="252"/>
        <item x="70"/>
        <item x="96"/>
        <item m="1" x="303"/>
        <item x="75"/>
        <item x="14"/>
        <item m="1" x="296"/>
        <item x="86"/>
        <item m="1" x="260"/>
        <item x="13"/>
        <item x="17"/>
        <item x="26"/>
        <item x="98"/>
        <item x="78"/>
        <item m="1" x="307"/>
        <item x="93"/>
        <item m="1" x="177"/>
        <item m="1" x="154"/>
        <item x="37"/>
        <item m="1" x="308"/>
        <item x="43"/>
        <item x="106"/>
        <item x="56"/>
        <item x="64"/>
        <item m="1" x="172"/>
        <item x="54"/>
        <item m="1" x="294"/>
        <item x="52"/>
        <item m="1" x="232"/>
        <item x="76"/>
        <item x="1"/>
        <item x="15"/>
        <item x="46"/>
        <item x="99"/>
        <item x="77"/>
        <item x="71"/>
        <item x="42"/>
        <item x="21"/>
        <item x="7"/>
        <item x="16"/>
        <item m="1" x="261"/>
        <item x="28"/>
        <item x="55"/>
        <item x="89"/>
        <item x="88"/>
        <item x="40"/>
        <item x="82"/>
        <item x="53"/>
        <item x="35"/>
        <item x="58"/>
        <item m="1" x="224"/>
        <item x="61"/>
        <item x="63"/>
        <item x="101"/>
        <item x="9"/>
        <item x="32"/>
        <item x="87"/>
        <item x="90"/>
        <item x="25"/>
        <item x="41"/>
        <item x="67"/>
        <item x="18"/>
        <item x="39"/>
        <item x="49"/>
        <item x="107"/>
        <item x="92"/>
        <item m="1" x="242"/>
        <item x="47"/>
        <item x="3"/>
        <item m="1" x="218"/>
        <item m="1" x="274"/>
        <item m="1" x="123"/>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7">
        <item m="1" x="5754"/>
        <item m="1" x="5317"/>
        <item m="1" x="1488"/>
        <item m="1" x="1502"/>
        <item m="1" x="5465"/>
        <item m="1" x="6237"/>
        <item m="1" x="5310"/>
        <item m="1" x="5487"/>
        <item m="1" x="5236"/>
        <item m="1" x="3982"/>
        <item m="1" x="6008"/>
        <item x="3"/>
        <item x="47"/>
        <item m="1" x="1307"/>
        <item x="49"/>
        <item x="39"/>
        <item x="18"/>
        <item x="67"/>
        <item x="41"/>
        <item x="25"/>
        <item x="90"/>
        <item x="87"/>
        <item x="32"/>
        <item x="9"/>
        <item x="63"/>
        <item m="1" x="344"/>
        <item x="35"/>
        <item x="53"/>
        <item x="82"/>
        <item x="55"/>
        <item x="28"/>
        <item x="16"/>
        <item x="7"/>
        <item x="21"/>
        <item m="1" x="3596"/>
        <item x="42"/>
        <item x="71"/>
        <item x="46"/>
        <item x="15"/>
        <item m="1" x="2388"/>
        <item x="52"/>
        <item m="1" x="5048"/>
        <item m="1" x="3415"/>
        <item x="43"/>
        <item m="1" x="144"/>
        <item x="37"/>
        <item m="1" x="5961"/>
        <item x="17"/>
        <item x="13"/>
        <item m="1" x="5357"/>
        <item x="14"/>
        <item m="1" x="2325"/>
        <item m="1" x="4119"/>
        <item m="1" x="6136"/>
        <item m="1" x="1230"/>
        <item x="4"/>
        <item m="1" x="2410"/>
        <item m="1" x="1497"/>
        <item x="31"/>
        <item x="33"/>
        <item x="23"/>
        <item m="1" x="1292"/>
        <item m="1" x="5417"/>
        <item m="1" x="180"/>
        <item m="1" x="2867"/>
        <item m="1" x="4544"/>
        <item x="36"/>
        <item x="12"/>
        <item m="1" x="1873"/>
        <item m="1" x="1821"/>
        <item m="1" x="626"/>
        <item x="19"/>
        <item m="1" x="4496"/>
        <item m="1" x="2100"/>
        <item x="51"/>
        <item x="0"/>
        <item m="1" x="4274"/>
        <item x="38"/>
        <item x="45"/>
        <item x="20"/>
        <item x="34"/>
        <item x="10"/>
        <item m="1" x="3480"/>
        <item m="1" x="6184"/>
        <item m="1" x="1039"/>
        <item m="1" x="1677"/>
        <item x="8"/>
        <item m="1" x="1902"/>
        <item m="1" x="1683"/>
        <item m="1" x="480"/>
        <item m="1" x="3817"/>
        <item m="1" x="5999"/>
        <item m="1" x="3236"/>
        <item m="1" x="490"/>
        <item m="1" x="5676"/>
        <item x="24"/>
        <item m="1" x="222"/>
        <item m="1" x="2617"/>
        <item m="1" x="4569"/>
        <item m="1" x="699"/>
        <item m="1" x="3473"/>
        <item m="1" x="335"/>
        <item m="1" x="6256"/>
        <item m="1" x="2430"/>
        <item m="1" x="238"/>
        <item m="1" x="733"/>
        <item m="1" x="2822"/>
        <item m="1" x="4559"/>
        <item x="44"/>
        <item m="1" x="3510"/>
        <item x="27"/>
        <item m="1" x="4797"/>
        <item m="1" x="2494"/>
        <item x="22"/>
        <item m="1" x="4995"/>
        <item m="1" x="2089"/>
        <item m="1" x="4616"/>
        <item m="1" x="3612"/>
        <item m="1" x="2764"/>
        <item x="50"/>
        <item m="1" x="814"/>
        <item x="48"/>
        <item m="1" x="6027"/>
        <item m="1" x="5618"/>
        <item m="1" x="2656"/>
        <item m="1" x="4582"/>
        <item x="5"/>
        <item m="1" x="1923"/>
        <item x="2"/>
        <item x="6"/>
        <item x="65"/>
        <item m="1" x="5533"/>
        <item m="1" x="4317"/>
        <item m="1" x="1231"/>
        <item m="1" x="5605"/>
        <item m="1" x="336"/>
        <item m="1" x="2202"/>
        <item m="1" x="5922"/>
        <item m="1" x="1947"/>
        <item m="1" x="4449"/>
        <item m="1" x="898"/>
        <item m="1" x="5158"/>
        <item m="1" x="5600"/>
        <item m="1" x="1312"/>
        <item m="1" x="1435"/>
        <item m="1" x="539"/>
        <item m="1" x="745"/>
        <item m="1" x="3569"/>
        <item m="1" x="1707"/>
        <item m="1" x="3210"/>
        <item m="1" x="2429"/>
        <item m="1" x="1545"/>
        <item m="1" x="3047"/>
        <item m="1" x="4159"/>
        <item m="1" x="871"/>
        <item m="1" x="3052"/>
        <item m="1" x="559"/>
        <item m="1" x="2033"/>
        <item m="1" x="1663"/>
        <item m="1" x="4195"/>
        <item m="1" x="4390"/>
        <item m="1" x="635"/>
        <item m="1" x="5103"/>
        <item m="1" x="5481"/>
        <item m="1" x="5686"/>
        <item m="1" x="2812"/>
        <item m="1" x="1843"/>
        <item m="1" x="6167"/>
        <item m="1" x="3626"/>
        <item m="1" x="5276"/>
        <item m="1" x="4648"/>
        <item m="1" x="2599"/>
        <item m="1" x="2151"/>
        <item m="1" x="1619"/>
        <item m="1" x="4436"/>
        <item m="1" x="1073"/>
        <item m="1" x="1591"/>
        <item m="1" x="3461"/>
        <item m="1" x="827"/>
        <item m="1" x="4629"/>
        <item m="1" x="1095"/>
        <item m="1" x="1354"/>
        <item m="1" x="5945"/>
        <item m="1" x="275"/>
        <item m="1" x="4689"/>
        <item m="1" x="5132"/>
        <item m="1" x="3427"/>
        <item m="1" x="5083"/>
        <item m="1" x="5362"/>
        <item m="1" x="5085"/>
        <item m="1" x="2678"/>
        <item m="1" x="3302"/>
        <item m="1" x="976"/>
        <item m="1" x="2478"/>
        <item m="1" x="5670"/>
        <item m="1" x="2378"/>
        <item m="1" x="1138"/>
        <item m="1" x="4069"/>
        <item m="1" x="308"/>
        <item m="1" x="4199"/>
        <item m="1" x="1616"/>
        <item m="1" x="3975"/>
        <item m="1" x="1018"/>
        <item m="1" x="5009"/>
        <item m="1" x="4739"/>
        <item m="1" x="918"/>
        <item m="1" x="2025"/>
        <item m="1" x="5098"/>
        <item m="1" x="300"/>
        <item m="1" x="2206"/>
        <item m="1" x="5060"/>
        <item m="1" x="2047"/>
        <item m="1" x="4972"/>
        <item m="1" x="4440"/>
        <item m="1" x="5040"/>
        <item m="1" x="6183"/>
        <item m="1" x="2161"/>
        <item m="1" x="2802"/>
        <item m="1" x="4287"/>
        <item m="1" x="3934"/>
        <item m="1" x="1627"/>
        <item m="1" x="6010"/>
        <item m="1" x="329"/>
        <item m="1" x="171"/>
        <item m="1" x="3755"/>
        <item m="1" x="2701"/>
        <item m="1" x="161"/>
        <item m="1" x="1087"/>
        <item m="1" x="2943"/>
        <item m="1" x="2501"/>
        <item m="1" x="2222"/>
        <item m="1" x="1786"/>
        <item m="1" x="797"/>
        <item m="1" x="5054"/>
        <item m="1" x="978"/>
        <item m="1" x="5215"/>
        <item m="1" x="5833"/>
        <item m="1" x="2330"/>
        <item m="1" x="3045"/>
        <item m="1" x="2632"/>
        <item m="1" x="4643"/>
        <item m="1" x="2505"/>
        <item m="1" x="4782"/>
        <item m="1" x="5219"/>
        <item m="1" x="6092"/>
        <item m="1" x="3565"/>
        <item m="1" x="5746"/>
        <item m="1" x="502"/>
        <item m="1" x="2432"/>
        <item m="1" x="4664"/>
        <item m="1" x="990"/>
        <item m="1" x="5370"/>
        <item m="1" x="3164"/>
        <item m="1" x="4568"/>
        <item m="1" x="4014"/>
        <item m="1" x="4301"/>
        <item m="1" x="321"/>
        <item m="1" x="3012"/>
        <item m="1" x="3562"/>
        <item m="1" x="2601"/>
        <item m="1" x="3217"/>
        <item m="1" x="1189"/>
        <item m="1" x="5520"/>
        <item m="1" x="4027"/>
        <item m="1" x="2658"/>
        <item m="1" x="4412"/>
        <item m="1" x="4627"/>
        <item m="1" x="4532"/>
        <item m="1" x="4319"/>
        <item m="1" x="3570"/>
        <item m="1" x="931"/>
        <item m="1" x="6082"/>
        <item m="1" x="2218"/>
        <item m="1" x="5063"/>
        <item m="1" x="4086"/>
        <item m="1" x="4040"/>
        <item m="1" x="1646"/>
        <item m="1" x="678"/>
        <item m="1" x="4890"/>
        <item m="1" x="1097"/>
        <item m="1" x="4302"/>
        <item m="1" x="327"/>
        <item m="1" x="391"/>
        <item m="1" x="2929"/>
        <item m="1" x="245"/>
        <item m="1" x="5327"/>
        <item m="1" x="2098"/>
        <item m="1" x="3726"/>
        <item m="1" x="1228"/>
        <item m="1" x="3088"/>
        <item m="1" x="2289"/>
        <item m="1" x="1992"/>
        <item m="1" x="2637"/>
        <item m="1" x="2889"/>
        <item m="1" x="1060"/>
        <item m="1" x="862"/>
        <item m="1" x="5389"/>
        <item m="1" x="6176"/>
        <item m="1" x="5703"/>
        <item m="1" x="1417"/>
        <item m="1" x="3393"/>
        <item m="1" x="4685"/>
        <item m="1" x="4884"/>
        <item m="1" x="1860"/>
        <item m="1" x="2017"/>
        <item m="1" x="712"/>
        <item m="1" x="1303"/>
        <item m="1" x="5484"/>
        <item m="1" x="5558"/>
        <item m="1" x="306"/>
        <item m="1" x="2734"/>
        <item m="1" x="4879"/>
        <item m="1" x="2273"/>
        <item m="1" x="4668"/>
        <item m="1" x="3660"/>
        <item m="1" x="3691"/>
        <item m="1" x="6025"/>
        <item m="1" x="1594"/>
        <item m="1" x="3208"/>
        <item m="1" x="1391"/>
        <item m="1" x="3592"/>
        <item m="1" x="3199"/>
        <item m="1" x="3178"/>
        <item m="1" x="2102"/>
        <item m="1" x="2716"/>
        <item m="1" x="5347"/>
        <item m="1" x="755"/>
        <item m="1" x="6046"/>
        <item m="1" x="2099"/>
        <item m="1" x="4832"/>
        <item m="1" x="763"/>
        <item m="1" x="1470"/>
        <item m="1" x="4321"/>
        <item m="1" x="4730"/>
        <item m="1" x="5908"/>
        <item m="1" x="1143"/>
        <item m="1" x="1643"/>
        <item m="1" x="4400"/>
        <item m="1" x="6076"/>
        <item m="1" x="5126"/>
        <item m="1" x="2761"/>
        <item m="1" x="1416"/>
        <item m="1" x="1903"/>
        <item m="1" x="790"/>
        <item m="1" x="900"/>
        <item m="1" x="977"/>
        <item m="1" x="2660"/>
        <item m="1" x="5666"/>
        <item m="1" x="4773"/>
        <item m="1" x="4028"/>
        <item m="1" x="3667"/>
        <item m="1" x="1384"/>
        <item m="1" x="697"/>
        <item m="1" x="6250"/>
        <item m="1" x="4276"/>
        <item m="1" x="3186"/>
        <item m="1" x="794"/>
        <item m="1" x="6138"/>
        <item m="1" x="5352"/>
        <item m="1" x="5621"/>
        <item m="1" x="3905"/>
        <item m="1" x="4359"/>
        <item m="1" x="1464"/>
        <item m="1" x="4556"/>
        <item m="1" x="4042"/>
        <item m="1" x="1730"/>
        <item m="1" x="5113"/>
        <item m="1" x="3834"/>
        <item m="1" x="720"/>
        <item m="1" x="942"/>
        <item m="1" x="4413"/>
        <item m="1" x="3699"/>
        <item m="1" x="2055"/>
        <item m="1" x="2760"/>
        <item m="1" x="4580"/>
        <item m="1" x="4812"/>
        <item m="1" x="1296"/>
        <item m="1" x="3006"/>
        <item m="1" x="6253"/>
        <item m="1" x="2906"/>
        <item m="1" x="512"/>
        <item m="1" x="6131"/>
        <item m="1" x="3530"/>
        <item m="1" x="1774"/>
        <item m="1" x="3344"/>
        <item m="1" x="3882"/>
        <item m="1" x="4110"/>
        <item m="1" x="2733"/>
        <item m="1" x="4767"/>
        <item m="1" x="2853"/>
        <item m="1" x="197"/>
        <item m="1" x="2125"/>
        <item m="1" x="3745"/>
        <item m="1" x="1653"/>
        <item m="1" x="3545"/>
        <item m="1" x="4896"/>
        <item m="1" x="396"/>
        <item m="1" x="1652"/>
        <item m="1" x="4461"/>
        <item m="1" x="1549"/>
        <item m="1" x="2057"/>
        <item m="1" x="2699"/>
        <item m="1" x="773"/>
        <item m="1" x="5590"/>
        <item m="1" x="2251"/>
        <item m="1" x="6055"/>
        <item m="1" x="4153"/>
        <item m="1" x="4765"/>
        <item m="1" x="3898"/>
        <item m="1" x="4652"/>
        <item m="1" x="5708"/>
        <item m="1" x="2437"/>
        <item m="1" x="2772"/>
        <item m="1" x="2314"/>
        <item m="1" x="5517"/>
        <item m="1" x="2840"/>
        <item m="1" x="3931"/>
        <item m="1" x="3383"/>
        <item m="1" x="3812"/>
        <item m="1" x="6096"/>
        <item m="1" x="3008"/>
        <item m="1" x="4234"/>
        <item m="1" x="5254"/>
        <item m="1" x="2179"/>
        <item m="1" x="2780"/>
        <item m="1" x="759"/>
        <item m="1" x="5101"/>
        <item m="1" x="2396"/>
        <item m="1" x="2142"/>
        <item m="1" x="1892"/>
        <item m="1" x="3526"/>
        <item m="1" x="1332"/>
        <item m="1" x="5785"/>
        <item m="1" x="1267"/>
        <item m="1" x="401"/>
        <item m="1" x="1759"/>
        <item m="1" x="3385"/>
        <item m="1" x="4987"/>
        <item m="1" x="1978"/>
        <item m="1" x="192"/>
        <item m="1" x="5832"/>
        <item m="1" x="1889"/>
        <item m="1" x="5925"/>
        <item m="1" x="5466"/>
        <item m="1" x="4707"/>
        <item m="1" x="648"/>
        <item m="1" x="6249"/>
        <item m="1" x="831"/>
        <item m="1" x="1166"/>
        <item m="1" x="5773"/>
        <item m="1" x="1539"/>
        <item m="1" x="1405"/>
        <item m="1" x="4786"/>
        <item m="1" x="3681"/>
        <item m="1" x="3334"/>
        <item m="1" x="4925"/>
        <item m="1" x="1625"/>
        <item m="1" x="5547"/>
        <item m="1" x="1242"/>
        <item m="1" x="3419"/>
        <item m="1" x="2101"/>
        <item m="1" x="536"/>
        <item m="1" x="5968"/>
        <item m="1" x="4220"/>
        <item m="1" x="4974"/>
        <item m="1" x="1377"/>
        <item m="1" x="3926"/>
        <item m="1" x="5809"/>
        <item m="1" x="580"/>
        <item m="1" x="2186"/>
        <item m="1" x="6158"/>
        <item m="1" x="2520"/>
        <item m="1" x="2271"/>
        <item m="1" x="735"/>
        <item m="1" x="3477"/>
        <item m="1" x="1871"/>
        <item m="1" x="4975"/>
        <item m="1" x="473"/>
        <item m="1" x="1085"/>
        <item m="1" x="2730"/>
        <item m="1" x="4265"/>
        <item m="1" x="4074"/>
        <item m="1" x="5218"/>
        <item m="1" x="4644"/>
        <item m="1" x="2511"/>
        <item m="1" x="3467"/>
        <item m="1" x="156"/>
        <item m="1" x="1751"/>
        <item m="1" x="1024"/>
        <item m="1" x="2912"/>
        <item m="1" x="5169"/>
        <item m="1" x="6245"/>
        <item m="1" x="5412"/>
        <item m="1" x="554"/>
        <item m="1" x="656"/>
        <item m="1" x="1844"/>
        <item m="1" x="4508"/>
        <item m="1" x="869"/>
        <item m="1" x="2420"/>
        <item m="1" x="5795"/>
        <item m="1" x="1967"/>
        <item m="1" x="4607"/>
        <item m="1" x="522"/>
        <item m="1" x="4847"/>
        <item m="1" x="4171"/>
        <item m="1" x="3722"/>
        <item m="1" x="5656"/>
        <item m="1" x="1244"/>
        <item m="1" x="1184"/>
        <item m="1" x="4518"/>
        <item m="1" x="1067"/>
        <item m="1" x="2032"/>
        <item m="1" x="1507"/>
        <item m="1" x="265"/>
        <item m="1" x="2575"/>
        <item m="1" x="3014"/>
        <item m="1" x="1732"/>
        <item m="1" x="5979"/>
        <item m="1" x="5939"/>
        <item m="1" x="4157"/>
        <item m="1" x="2259"/>
        <item m="1" x="954"/>
        <item m="1" x="5128"/>
        <item m="1" x="115"/>
        <item m="1" x="1122"/>
        <item m="1" x="2083"/>
        <item m="1" x="340"/>
        <item m="1" x="5361"/>
        <item m="1" x="5994"/>
        <item m="1" x="1876"/>
        <item m="1" x="5371"/>
        <item m="1" x="4297"/>
        <item m="1" x="5345"/>
        <item m="1" x="1911"/>
        <item m="1" x="2326"/>
        <item m="1" x="2321"/>
        <item m="1" x="2358"/>
        <item m="1" x="3652"/>
        <item m="1" x="4245"/>
        <item m="1" x="3971"/>
        <item m="1" x="6016"/>
        <item m="1" x="3044"/>
        <item m="1" x="3695"/>
        <item m="1" x="5339"/>
        <item m="1" x="4170"/>
        <item x="61"/>
        <item m="1" x="1857"/>
        <item m="1" x="4817"/>
        <item m="1" x="4294"/>
        <item m="1" x="5430"/>
        <item m="1" x="6186"/>
        <item m="1" x="5488"/>
        <item m="1" x="1563"/>
        <item m="1" x="5228"/>
        <item m="1" x="3613"/>
        <item m="1" x="3891"/>
        <item m="1" x="2491"/>
        <item m="1" x="2311"/>
        <item m="1" x="1924"/>
        <item m="1" x="1334"/>
        <item m="1" x="1757"/>
        <item m="1" x="3979"/>
        <item m="1" x="5516"/>
        <item m="1" x="424"/>
        <item m="1" x="2767"/>
        <item m="1" x="4522"/>
        <item m="1" x="398"/>
        <item m="1" x="5549"/>
        <item m="1" x="1661"/>
        <item m="1" x="968"/>
        <item m="1" x="3476"/>
        <item m="1" x="2061"/>
        <item m="1" x="1714"/>
        <item m="1" x="5261"/>
        <item m="1" x="1713"/>
        <item m="1" x="3446"/>
        <item m="1" x="1187"/>
        <item m="1" x="2197"/>
        <item m="1" x="2712"/>
        <item m="1" x="3259"/>
        <item m="1" x="3944"/>
        <item m="1" x="5340"/>
        <item m="1" x="2337"/>
        <item m="1" x="3019"/>
        <item m="1" x="4637"/>
        <item m="1" x="3581"/>
        <item m="1" x="4194"/>
        <item m="1" x="5917"/>
        <item m="1" x="3444"/>
        <item m="1" x="4594"/>
        <item m="1" x="5216"/>
        <item m="1" x="2267"/>
        <item m="1" x="3165"/>
        <item m="1" x="1850"/>
        <item m="1" x="3452"/>
        <item m="1" x="380"/>
        <item m="1" x="3338"/>
        <item m="1" x="5075"/>
        <item m="1" x="3407"/>
        <item m="1" x="1013"/>
        <item m="1" x="3333"/>
        <item m="1" x="4897"/>
        <item m="1" x="2212"/>
        <item m="1" x="2416"/>
        <item m="1" x="1599"/>
        <item m="1" x="4509"/>
        <item m="1" x="4398"/>
        <item m="1" x="4264"/>
        <item m="1" x="4543"/>
        <item m="1" x="325"/>
        <item m="1" x="3324"/>
        <item m="1" x="5284"/>
        <item m="1" x="683"/>
        <item m="1" x="1462"/>
        <item m="1" x="210"/>
        <item m="1" x="5438"/>
        <item m="1" x="5358"/>
        <item m="1" x="4379"/>
        <item m="1" x="1819"/>
        <item m="1" x="6177"/>
        <item m="1" x="2452"/>
        <item m="1" x="737"/>
        <item m="1" x="376"/>
        <item m="1" x="288"/>
        <item m="1" x="1404"/>
        <item m="1" x="1551"/>
        <item m="1" x="4984"/>
        <item m="1" x="3368"/>
        <item m="1" x="4017"/>
        <item m="1" x="5721"/>
        <item m="1" x="2647"/>
        <item m="1" x="2903"/>
        <item m="1" x="3511"/>
        <item m="1" x="4670"/>
        <item m="1" x="6238"/>
        <item m="1" x="4386"/>
        <item m="1" x="2261"/>
        <item m="1" x="3859"/>
        <item m="1" x="6118"/>
        <item m="1" x="3228"/>
        <item m="1" x="3554"/>
        <item m="1" x="1011"/>
        <item m="1" x="2136"/>
        <item m="1" x="4322"/>
        <item m="1" x="4052"/>
        <item m="1" x="1715"/>
        <item m="1" x="6099"/>
        <item m="1" x="3004"/>
        <item m="1" x="4776"/>
        <item m="1" x="2292"/>
        <item m="1" x="4600"/>
        <item m="1" x="2435"/>
        <item m="1" x="5391"/>
        <item m="1" x="4221"/>
        <item m="1" x="3560"/>
        <item m="1" x="5860"/>
        <item m="1" x="3541"/>
        <item m="1" x="4570"/>
        <item m="1" x="1317"/>
        <item m="1" x="762"/>
        <item m="1" x="268"/>
        <item m="1" x="4533"/>
        <item m="1" x="5444"/>
        <item m="1" x="4022"/>
        <item m="1" x="1648"/>
        <item m="1" x="2879"/>
        <item m="1" x="5188"/>
        <item m="1" x="723"/>
        <item m="1" x="129"/>
        <item m="1" x="4371"/>
        <item m="1" x="5973"/>
        <item m="1" x="4185"/>
        <item m="1" x="2789"/>
        <item m="1" x="3224"/>
        <item m="1" x="131"/>
        <item m="1" x="5902"/>
        <item m="1" x="1378"/>
        <item m="1" x="4462"/>
        <item m="1" x="4116"/>
        <item m="1" x="5486"/>
        <item m="1" x="5578"/>
        <item m="1" x="3426"/>
        <item m="1" x="1449"/>
        <item m="1" x="2872"/>
        <item m="1" x="3265"/>
        <item m="1" x="6018"/>
        <item m="1" x="2890"/>
        <item m="1" x="6101"/>
        <item m="1" x="3390"/>
        <item m="1" x="3577"/>
        <item m="1" x="1311"/>
        <item m="1" x="4798"/>
        <item m="1" x="6006"/>
        <item m="1" x="5353"/>
        <item m="1" x="548"/>
        <item m="1" x="4505"/>
        <item m="1" x="6188"/>
        <item m="1" x="3435"/>
        <item m="1" x="3372"/>
        <item m="1" x="2830"/>
        <item m="1" x="1399"/>
        <item m="1" x="4410"/>
        <item m="1" x="2230"/>
        <item m="1" x="449"/>
        <item m="1" x="2172"/>
        <item m="1" x="1834"/>
        <item m="1" x="5307"/>
        <item m="1" x="6135"/>
        <item m="1" x="3983"/>
        <item m="1" x="1350"/>
        <item m="1" x="2538"/>
        <item m="1" x="1878"/>
        <item m="1" x="4978"/>
        <item m="1" x="4450"/>
        <item m="1" x="882"/>
        <item m="1" x="2010"/>
        <item m="1" x="4128"/>
        <item m="1" x="2427"/>
        <item m="1" x="5511"/>
        <item m="1" x="2747"/>
        <item m="1" x="4763"/>
        <item m="1" x="2489"/>
        <item m="1" x="4063"/>
        <item m="1" x="1221"/>
        <item m="1" x="2651"/>
        <item m="1" x="3252"/>
        <item m="1" x="958"/>
        <item m="1" x="2713"/>
        <item m="1" x="544"/>
        <item m="1" x="3495"/>
        <item m="1" x="1979"/>
        <item m="1" x="3282"/>
        <item m="1" x="6110"/>
        <item m="1" x="2909"/>
        <item m="1" x="5847"/>
        <item m="1" x="5318"/>
        <item m="1" x="1630"/>
        <item m="1" x="3391"/>
        <item m="1" x="2318"/>
        <item m="1" x="4757"/>
        <item m="1" x="1344"/>
        <item m="1" x="4615"/>
        <item m="1" x="1298"/>
        <item m="1" x="1257"/>
        <item m="1" x="4745"/>
        <item m="1" x="3063"/>
        <item m="1" x="3046"/>
        <item m="1" x="3360"/>
        <item m="1" x="4376"/>
        <item m="1" x="4433"/>
        <item m="1" x="2144"/>
        <item m="1" x="556"/>
        <item m="1" x="2510"/>
        <item m="1" x="1157"/>
        <item m="1" x="3266"/>
        <item m="1" x="5020"/>
        <item m="1" x="195"/>
        <item m="1" x="3811"/>
        <item m="1" x="4455"/>
        <item m="1" x="1711"/>
        <item m="1" x="5383"/>
        <item m="1" x="3860"/>
        <item m="1" x="3994"/>
        <item m="1" x="4772"/>
        <item m="1" x="2162"/>
        <item m="1" x="1004"/>
        <item m="1" x="240"/>
        <item m="1" x="1496"/>
        <item m="1" x="5864"/>
        <item m="1" x="1511"/>
        <item m="1" x="1945"/>
        <item m="1" x="385"/>
        <item m="1" x="4810"/>
        <item m="1" x="1412"/>
        <item m="1" x="2104"/>
        <item m="1" x="3159"/>
        <item m="1" x="3922"/>
        <item m="1" x="3329"/>
        <item m="1" x="2864"/>
        <item m="1" x="2503"/>
        <item m="1" x="5696"/>
        <item m="1" x="1977"/>
        <item m="1" x="5315"/>
        <item m="1" x="174"/>
        <item m="1" x="3937"/>
        <item m="1" x="2072"/>
        <item m="1" x="5952"/>
        <item m="1" x="3111"/>
        <item m="1" x="972"/>
        <item m="1" x="4426"/>
        <item m="1" x="5078"/>
        <item m="1" x="5159"/>
        <item m="1" x="1079"/>
        <item m="1" x="187"/>
        <item m="1" x="149"/>
        <item m="1" x="717"/>
        <item m="1" x="6073"/>
        <item m="1" x="2192"/>
        <item m="1" x="3384"/>
        <item m="1" x="4011"/>
        <item m="1" x="2846"/>
        <item m="1" x="1185"/>
        <item m="1" x="1671"/>
        <item m="1" x="6031"/>
        <item m="1" x="3489"/>
        <item m="1" x="2788"/>
        <item m="1" x="1708"/>
        <item m="1" x="5848"/>
        <item m="1" x="4605"/>
        <item m="1" x="331"/>
        <item m="1" x="1030"/>
        <item m="1" x="685"/>
        <item m="1" x="4790"/>
        <item m="1" x="4986"/>
        <item m="1" x="6180"/>
        <item m="1" x="1069"/>
        <item m="1" x="5093"/>
        <item m="1" x="2419"/>
        <item m="1" x="2518"/>
        <item m="1" x="3422"/>
        <item m="1" x="3936"/>
        <item m="1" x="1710"/>
        <item m="1" x="2455"/>
        <item m="1" x="5883"/>
        <item m="1" x="754"/>
        <item m="1" x="5780"/>
        <item m="1" x="5512"/>
        <item m="1" x="1664"/>
        <item m="1" x="1089"/>
        <item m="1" x="807"/>
        <item m="1" x="2535"/>
        <item m="1" x="3858"/>
        <item m="1" x="6113"/>
        <item m="1" x="2021"/>
        <item m="1" x="2506"/>
        <item m="1" x="3232"/>
        <item m="1" x="5059"/>
        <item m="1" x="2472"/>
        <item m="1" x="1048"/>
        <item m="1" x="4407"/>
        <item m="1" x="1147"/>
        <item m="1" x="1607"/>
        <item m="1" x="2669"/>
        <item m="1" x="3117"/>
        <item m="1" x="4592"/>
        <item m="1" x="5474"/>
        <item m="1" x="2451"/>
        <item m="1" x="3763"/>
        <item m="1" x="1794"/>
        <item m="1" x="5028"/>
        <item m="1" x="4233"/>
        <item m="1" x="718"/>
        <item m="1" x="5526"/>
        <item m="1" x="3233"/>
        <item m="1" x="154"/>
        <item m="1" x="2382"/>
        <item m="1" x="4583"/>
        <item m="1" x="6117"/>
        <item m="1" x="2677"/>
        <item m="1" x="3242"/>
        <item m="1" x="6246"/>
        <item m="1" x="5082"/>
        <item m="1" x="1841"/>
        <item m="1" x="3740"/>
        <item m="1" x="3674"/>
        <item m="1" x="5728"/>
        <item m="1" x="5996"/>
        <item m="1" x="2845"/>
        <item m="1" x="5645"/>
        <item m="1" x="4751"/>
        <item m="1" x="4108"/>
        <item m="1" x="4224"/>
        <item m="1" x="3436"/>
        <item m="1" x="2449"/>
        <item m="1" x="2111"/>
        <item m="1" x="645"/>
        <item m="1" x="1105"/>
        <item m="1" x="1261"/>
        <item m="1" x="3579"/>
        <item m="1" x="2486"/>
        <item m="1" x="5638"/>
        <item m="1" x="2964"/>
        <item m="1" x="5609"/>
        <item m="1" x="3684"/>
        <item m="1" x="1480"/>
        <item m="1" x="120"/>
        <item m="1" x="1204"/>
        <item m="1" x="2609"/>
        <item m="1" x="127"/>
        <item m="1" x="558"/>
        <item m="1" x="5831"/>
        <item m="1" x="2301"/>
        <item m="1" x="2751"/>
        <item m="1" x="1638"/>
        <item m="1" x="1498"/>
        <item m="1" x="3628"/>
        <item m="1" x="598"/>
        <item m="1" x="370"/>
        <item m="1" x="3959"/>
        <item m="1" x="744"/>
        <item m="1" x="1025"/>
        <item m="1" x="5535"/>
        <item m="1" x="5333"/>
        <item m="1" x="3911"/>
        <item m="1" x="1016"/>
        <item m="1" x="1140"/>
        <item m="1" x="1864"/>
        <item m="1" x="1738"/>
        <item m="1" x="3593"/>
        <item m="1" x="1866"/>
        <item m="1" x="4104"/>
        <item m="1" x="3482"/>
        <item m="1" x="4365"/>
        <item m="1" x="5839"/>
        <item m="1" x="2446"/>
        <item m="1" x="279"/>
        <item m="1" x="1163"/>
        <item m="1" x="4172"/>
        <item m="1" x="4414"/>
        <item m="1" x="1895"/>
        <item m="1" x="4495"/>
        <item m="1" x="5910"/>
        <item m="1" x="6047"/>
        <item m="1" x="3134"/>
        <item m="1" x="2692"/>
        <item m="1" x="4872"/>
        <item m="1" x="1275"/>
        <item m="1" x="2844"/>
        <item m="1" x="3086"/>
        <item m="1" x="5186"/>
        <item m="1" x="1907"/>
        <item m="1" x="333"/>
        <item m="1" x="543"/>
        <item m="1" x="5862"/>
        <item m="1" x="3521"/>
        <item m="1" x="3353"/>
        <item m="1" x="4646"/>
        <item m="1" x="5134"/>
        <item m="1" x="4721"/>
        <item m="1" x="3212"/>
        <item m="1" x="3206"/>
        <item m="1" x="2881"/>
        <item m="1" x="1958"/>
        <item m="1" x="4474"/>
        <item m="1" x="1562"/>
        <item m="1" x="4811"/>
        <item m="1" x="1247"/>
        <item m="1" x="860"/>
        <item m="1" x="1763"/>
        <item m="1" x="5384"/>
        <item m="1" x="4952"/>
        <item m="1" x="4046"/>
        <item m="1" x="4889"/>
        <item m="1" x="4669"/>
        <item m="1" x="5837"/>
        <item m="1" x="2759"/>
        <item m="1" x="3150"/>
        <item m="1" x="3207"/>
        <item m="1" x="2939"/>
        <item m="1" x="5963"/>
        <item m="1" x="2592"/>
        <item m="1" x="2481"/>
        <item m="1" x="5904"/>
        <item m="1" x="5492"/>
        <item m="1" x="2042"/>
        <item m="1" x="5664"/>
        <item m="1" x="135"/>
        <item m="1" x="1195"/>
        <item m="1" x="4732"/>
        <item m="1" x="3589"/>
        <item m="1" x="432"/>
        <item m="1" x="334"/>
        <item m="1" x="2664"/>
        <item m="1" x="1754"/>
        <item m="1" x="3824"/>
        <item m="1" x="1788"/>
        <item m="1" x="5324"/>
        <item m="1" x="3910"/>
        <item m="1" x="748"/>
        <item m="1" x="4278"/>
        <item m="1" x="4650"/>
        <item m="1" x="2779"/>
        <item m="1" x="2979"/>
        <item m="1" x="5975"/>
        <item m="1" x="5846"/>
        <item m="1" x="1748"/>
        <item m="1" x="3263"/>
        <item m="1" x="3779"/>
        <item m="1" x="1800"/>
        <item m="1" x="751"/>
        <item m="1" x="1853"/>
        <item m="1" x="4836"/>
        <item m="1" x="3680"/>
        <item m="1" x="1006"/>
        <item m="1" x="5991"/>
        <item m="1" x="1798"/>
        <item m="1" x="821"/>
        <item m="1" x="3181"/>
        <item m="1" x="1387"/>
        <item m="1" x="5032"/>
        <item m="1" x="217"/>
        <item m="1" x="4309"/>
        <item m="1" x="5359"/>
        <item m="1" x="3987"/>
        <item m="1" x="3413"/>
        <item m="1" x="3404"/>
        <item m="1" x="5601"/>
        <item m="1" x="3698"/>
        <item m="1" x="957"/>
        <item m="1" x="2985"/>
        <item m="1" x="6141"/>
        <item m="1" x="5034"/>
        <item m="1" x="1890"/>
        <item m="1" x="3075"/>
        <item m="1" x="5571"/>
        <item m="1" x="167"/>
        <item m="1" x="4756"/>
        <item m="1" x="5192"/>
        <item m="1" x="3706"/>
        <item m="1" x="5849"/>
        <item m="1" x="5153"/>
        <item m="1" x="3840"/>
        <item m="1" x="3754"/>
        <item m="1" x="2746"/>
        <item m="1" x="4337"/>
        <item m="1" x="4561"/>
        <item m="1" x="5477"/>
        <item m="1" x="765"/>
        <item m="1" x="4268"/>
        <item m="1" x="5087"/>
        <item m="1" x="387"/>
        <item m="1" x="5330"/>
        <item m="1" x="3024"/>
        <item m="1" x="5319"/>
        <item m="1" x="4270"/>
        <item m="1" x="5050"/>
        <item m="1" x="1684"/>
        <item m="1" x="943"/>
        <item m="1" x="2860"/>
        <item m="1" x="867"/>
        <item m="1" x="879"/>
        <item m="1" x="1285"/>
        <item m="1" x="5932"/>
        <item m="1" x="2148"/>
        <item m="1" x="1287"/>
        <item m="1" x="654"/>
        <item m="1" x="866"/>
        <item m="1" x="3815"/>
        <item m="1" x="349"/>
        <item m="1" x="3744"/>
        <item m="1" x="513"/>
        <item m="1" x="5133"/>
        <item m="1" x="1709"/>
        <item m="1" x="2755"/>
        <item m="1" x="1762"/>
        <item m="1" x="726"/>
        <item m="1" x="3598"/>
        <item m="1" x="2266"/>
        <item m="1" x="3114"/>
        <item m="1" x="4603"/>
        <item m="1" x="1290"/>
        <item m="1" x="525"/>
        <item m="1" x="6121"/>
        <item m="1" x="566"/>
        <item m="1" x="1162"/>
        <item m="1" x="3445"/>
        <item m="1" x="5271"/>
        <item m="1" x="4050"/>
        <item m="1" x="3606"/>
        <item m="1" x="3927"/>
        <item m="1" x="3781"/>
        <item m="1" x="2284"/>
        <item m="1" x="1038"/>
        <item m="1" x="1148"/>
        <item m="1" x="5585"/>
        <item m="1" x="3067"/>
        <item m="1" x="1351"/>
        <item m="1" x="786"/>
        <item m="1" x="6192"/>
        <item m="1" x="3553"/>
        <item m="1" x="1544"/>
        <item m="1" x="4850"/>
        <item m="1" x="5289"/>
        <item m="1" x="5405"/>
        <item m="1" x="3281"/>
        <item m="1" x="1685"/>
        <item m="1" x="4032"/>
        <item m="1" x="920"/>
        <item m="1" x="2932"/>
        <item m="1" x="6193"/>
        <item m="1" x="5066"/>
        <item m="1" x="2159"/>
        <item m="1" x="1040"/>
        <item m="1" x="4722"/>
        <item m="1" x="5231"/>
        <item m="1" x="1324"/>
        <item m="1" x="3320"/>
        <item m="1" x="615"/>
        <item m="1" x="4690"/>
        <item m="1" x="1964"/>
        <item m="1" x="2952"/>
        <item m="1" x="3644"/>
        <item m="1" x="740"/>
        <item m="1" x="108"/>
        <item m="1" x="1832"/>
        <item m="1" x="6062"/>
        <item m="1" x="2593"/>
        <item m="1" x="5524"/>
        <item m="1" x="4208"/>
        <item m="1" x="5497"/>
        <item m="1" x="4775"/>
        <item m="1" x="3337"/>
        <item m="1" x="4876"/>
        <item m="1" x="1858"/>
        <item m="1" x="1703"/>
        <item m="1" x="2414"/>
        <item m="1" x="5776"/>
        <item m="1" x="4621"/>
        <item m="1" x="885"/>
        <item m="1" x="4747"/>
        <item m="1" x="1694"/>
        <item m="1" x="2738"/>
        <item m="1" x="3504"/>
        <item m="1" x="4211"/>
        <item m="1" x="3677"/>
        <item m="1" x="4094"/>
        <item m="1" x="1767"/>
        <item m="1" x="4018"/>
        <item m="1" x="3990"/>
        <item m="1" x="1529"/>
        <item m="1" x="3753"/>
        <item m="1" x="2624"/>
        <item m="1" x="4156"/>
        <item m="1" x="3424"/>
        <item m="1" x="5057"/>
        <item m="1" x="4480"/>
        <item m="1" x="1950"/>
        <item m="1" x="1541"/>
        <item m="1" x="1125"/>
        <item m="1" x="4743"/>
        <item m="1" x="4341"/>
        <item m="1" x="1110"/>
        <item m="1" x="4947"/>
        <item m="1" x="1475"/>
        <item m="1" x="4608"/>
        <item m="1" x="4313"/>
        <item m="1" x="239"/>
        <item m="1" x="2970"/>
        <item m="1" x="4226"/>
        <item m="1" x="260"/>
        <item m="1" x="1225"/>
        <item m="1" x="5671"/>
        <item m="1" x="750"/>
        <item m="1" x="3629"/>
        <item m="1" x="4219"/>
        <item m="1" x="4901"/>
        <item m="1" x="1688"/>
        <item m="1" x="1196"/>
        <item m="1" x="4667"/>
        <item m="1" x="3583"/>
        <item m="1" x="3256"/>
        <item m="1" x="3377"/>
        <item m="1" x="4665"/>
        <item m="1" x="1573"/>
        <item m="1" x="1306"/>
        <item m="1" x="4347"/>
        <item m="1" x="309"/>
        <item m="1" x="5841"/>
        <item m="1" x="2874"/>
        <item m="1" x="2238"/>
        <item m="1" x="5191"/>
        <item m="1" x="6129"/>
        <item m="1" x="1590"/>
        <item m="1" x="5070"/>
        <item m="1" x="3524"/>
        <item m="1" x="2907"/>
        <item m="1" x="2589"/>
        <item m="1" x="1238"/>
        <item m="1" x="2121"/>
        <item m="1" x="1885"/>
        <item m="1" x="3465"/>
        <item m="1" x="3769"/>
        <item m="1" x="2352"/>
        <item m="1" x="4419"/>
        <item m="1" x="1644"/>
        <item m="1" x="1847"/>
        <item m="1" x="757"/>
        <item m="1" x="634"/>
        <item m="1" x="1584"/>
        <item m="1" x="4711"/>
        <item m="1" x="3402"/>
        <item m="1" x="6198"/>
        <item m="1" x="1547"/>
        <item m="1" x="5777"/>
        <item m="1" x="2274"/>
        <item m="1" x="1361"/>
        <item m="1" x="1829"/>
        <item m="1" x="3220"/>
        <item m="1" x="299"/>
        <item m="1" x="1728"/>
        <item m="1" x="4506"/>
        <item m="1" x="2485"/>
        <item m="1" x="5245"/>
        <item m="1" x="4291"/>
        <item m="1" x="184"/>
        <item m="1" x="125"/>
        <item m="1" x="501"/>
        <item m="1" x="3140"/>
        <item m="1" x="3058"/>
        <item m="1" x="5288"/>
        <item m="1" x="1804"/>
        <item m="1" x="929"/>
        <item m="1" x="2305"/>
        <item m="1" x="1258"/>
        <item m="1" x="3037"/>
        <item m="1" x="4392"/>
        <item m="1" x="4342"/>
        <item m="1" x="1216"/>
        <item m="1" x="5479"/>
        <item m="1" x="4348"/>
        <item m="1" x="169"/>
        <item m="1" x="746"/>
        <item m="1" x="2027"/>
        <item m="1" x="3158"/>
        <item m="1" x="3059"/>
        <item m="1" x="3574"/>
        <item m="1" x="4985"/>
        <item m="1" x="5476"/>
        <item m="1" x="1552"/>
        <item m="1" x="3797"/>
        <item m="1" x="3947"/>
        <item m="1" x="4853"/>
        <item m="1" x="2194"/>
        <item m="1" x="2540"/>
        <item m="1" x="3730"/>
        <item m="1" x="3920"/>
        <item m="1" x="2748"/>
        <item m="1" x="687"/>
        <item m="1" x="3516"/>
        <item m="1" x="4537"/>
        <item m="1" x="3298"/>
        <item m="1" x="3398"/>
        <item m="1" x="6140"/>
        <item m="1" x="5167"/>
        <item m="1" x="1980"/>
        <item m="1" x="3078"/>
        <item m="1" x="291"/>
        <item m="1" x="1785"/>
        <item m="1" x="5223"/>
        <item m="1" x="242"/>
        <item m="1" x="182"/>
        <item m="1" x="3540"/>
        <item m="1" x="3884"/>
        <item m="1" x="4282"/>
        <item m="1" x="2567"/>
        <item m="1" x="2167"/>
        <item m="1" x="476"/>
        <item m="1" x="6157"/>
        <item m="1" x="1735"/>
        <item m="1" x="2546"/>
        <item m="1" x="4945"/>
        <item m="1" x="4213"/>
        <item m="1" x="2323"/>
        <item m="1" x="928"/>
        <item m="1" x="2412"/>
        <item m="1" x="5617"/>
        <item m="1" x="4472"/>
        <item m="1" x="5022"/>
        <item m="1" x="4692"/>
        <item m="1" x="405"/>
        <item m="1" x="5683"/>
        <item m="1" x="4507"/>
        <item m="1" x="1898"/>
        <item m="1" x="186"/>
        <item m="1" x="541"/>
        <item m="1" x="5580"/>
        <item m="1" x="4318"/>
        <item m="1" x="6219"/>
        <item m="1" x="5368"/>
        <item m="1" x="6182"/>
        <item m="1" x="2639"/>
        <item m="1" x="3262"/>
        <item m="1" x="4438"/>
        <item m="1" x="5843"/>
        <item m="1" x="5388"/>
        <item m="1" x="303"/>
        <item m="1" x="3215"/>
        <item m="1" x="505"/>
        <item m="1" x="4305"/>
        <item m="1" x="2947"/>
        <item m="1" x="3673"/>
        <item m="1" x="1938"/>
        <item m="1" x="4503"/>
        <item m="1" x="2059"/>
        <item m="1" x="437"/>
        <item m="1" x="137"/>
        <item m="1" x="486"/>
        <item m="1" x="4979"/>
        <item m="1" x="3945"/>
        <item m="1" x="4456"/>
        <item m="1" x="2858"/>
        <item m="1" x="477"/>
        <item m="1" x="4228"/>
        <item m="1" x="220"/>
        <item m="1" x="3829"/>
        <item m="1" x="1335"/>
        <item m="1" x="5884"/>
        <item m="1" x="3386"/>
        <item m="1" x="4240"/>
        <item m="1" x="3172"/>
        <item m="1" x="4383"/>
        <item m="1" x="4210"/>
        <item m="1" x="2565"/>
        <item m="1" x="3879"/>
        <item m="1" x="434"/>
        <item m="1" x="5681"/>
        <item m="1" x="393"/>
        <item m="1" x="986"/>
        <item m="1" x="1583"/>
        <item m="1" x="2165"/>
        <item m="1" x="5546"/>
        <item m="1" x="1144"/>
        <item m="1" x="3455"/>
        <item m="1" x="4549"/>
        <item m="1" x="5544"/>
        <item m="1" x="2528"/>
        <item m="1" x="3380"/>
        <item m="1" x="3679"/>
        <item m="1" x="5822"/>
        <item m="1" x="472"/>
        <item m="1" x="5415"/>
        <item m="1" x="5818"/>
        <item m="1" x="4944"/>
        <item m="1" x="4065"/>
        <item m="1" x="1159"/>
        <item m="1" x="4316"/>
        <item m="1" x="5323"/>
        <item m="1" x="3709"/>
        <item m="1" x="6229"/>
        <item m="1" x="2695"/>
        <item m="1" x="1198"/>
        <item m="1" x="5679"/>
        <item m="1" x="4848"/>
        <item m="1" x="5026"/>
        <item m="1" x="2339"/>
        <item m="1" x="223"/>
        <item m="1" x="3056"/>
        <item m="1" x="2468"/>
        <item m="1" x="2945"/>
        <item m="1" x="3357"/>
        <item m="1" x="3789"/>
        <item m="1" x="672"/>
        <item m="1" x="5885"/>
        <item m="1" x="5180"/>
        <item m="1" x="4585"/>
        <item m="1" x="5160"/>
        <item m="1" x="1985"/>
        <item m="1" x="2127"/>
        <item m="1" x="4453"/>
        <item m="1" x="5552"/>
        <item m="1" x="868"/>
        <item m="1" x="5915"/>
        <item m="1" x="4290"/>
        <item m="1" x="4744"/>
        <item m="1" x="3381"/>
        <item m="1" x="5622"/>
        <item m="1" x="846"/>
        <item m="1" x="4189"/>
        <item m="1" x="532"/>
        <item m="1" x="2791"/>
        <item m="1" x="3728"/>
        <item m="1" x="6081"/>
        <item m="1" x="5845"/>
        <item m="1" x="2598"/>
        <item m="1" x="3264"/>
        <item m="1" x="2350"/>
        <item m="1" x="6072"/>
        <item m="1" x="3257"/>
        <item m="1" x="6044"/>
        <item m="1" x="5794"/>
        <item m="1" x="3909"/>
        <item m="1" x="4038"/>
        <item m="1" x="4427"/>
        <item m="1" x="2886"/>
        <item m="1" x="2244"/>
        <item m="1" x="4161"/>
        <item m="1" x="1407"/>
        <item m="1" x="4555"/>
        <item m="1" x="3316"/>
        <item m="1" x="411"/>
        <item m="1" x="2076"/>
        <item m="1" x="4526"/>
        <item m="1" x="6070"/>
        <item m="1" x="4948"/>
        <item m="1" x="3672"/>
        <item m="1" x="1446"/>
        <item m="1" x="5941"/>
        <item m="1" x="3147"/>
        <item m="1" x="3525"/>
        <item m="1" x="5044"/>
        <item m="1" x="2135"/>
        <item m="1" x="3450"/>
        <item m="1" x="5626"/>
        <item m="1" x="3472"/>
        <item m="1" x="607"/>
        <item m="1" x="861"/>
        <item m="1" x="462"/>
        <item m="1" x="5778"/>
        <item m="1" x="3016"/>
        <item m="1" x="3742"/>
        <item m="1" x="1078"/>
        <item m="1" x="5779"/>
        <item m="1" x="764"/>
        <item m="1" x="5556"/>
        <item m="1" x="4003"/>
        <item m="1" x="3456"/>
        <item m="1" x="3875"/>
        <item m="1" x="1640"/>
        <item m="1" x="2581"/>
        <item m="1" x="5691"/>
        <item m="1" x="2034"/>
        <item m="1" x="1696"/>
        <item m="1" x="3493"/>
        <item m="1" x="5409"/>
        <item m="1" x="5944"/>
        <item m="1" x="1266"/>
        <item m="1" x="450"/>
        <item m="1" x="1152"/>
        <item m="1" x="366"/>
        <item m="1" x="2935"/>
        <item m="1" x="3518"/>
        <item m="1" x="706"/>
        <item m="1" x="4977"/>
        <item m="1" x="2523"/>
        <item m="1" x="2269"/>
        <item m="1" x="5373"/>
        <item m="1" x="4374"/>
        <item m="1" x="3962"/>
        <item m="1" x="5001"/>
        <item m="1" x="1725"/>
        <item m="1" x="2998"/>
        <item m="1" x="2221"/>
        <item m="1" x="897"/>
        <item m="1" x="2304"/>
        <item m="1" x="3355"/>
        <item m="1" x="1533"/>
        <item m="1" x="1246"/>
        <item m="1" x="3648"/>
        <item m="1" x="2283"/>
        <item m="1" x="4777"/>
        <item m="1" x="3599"/>
        <item m="1" x="6205"/>
        <item m="1" x="3430"/>
        <item m="1" x="1771"/>
        <item m="1" x="2512"/>
        <item m="1" x="2442"/>
        <item m="1" x="5451"/>
        <item m="1" x="384"/>
        <item m="1" x="3275"/>
        <item m="1" x="777"/>
        <item m="1" x="856"/>
        <item m="1" x="3136"/>
        <item m="1" x="274"/>
        <item m="1" x="5967"/>
        <item m="1" x="1394"/>
        <item m="1" x="591"/>
        <item m="1" x="3109"/>
        <item m="1" x="2629"/>
        <item m="1" x="5977"/>
        <item m="1" x="2525"/>
        <item m="1" x="1127"/>
        <item m="1" x="5166"/>
        <item m="1" x="5164"/>
        <item m="1" x="5147"/>
        <item m="1" x="474"/>
        <item m="1" x="2541"/>
        <item m="1" x="5259"/>
        <item m="1" x="4933"/>
        <item m="1" x="5950"/>
        <item m="1" x="4589"/>
        <item m="1" x="2152"/>
        <item m="1" x="4370"/>
        <item m="1" x="2837"/>
        <item m="1" x="3318"/>
        <item m="1" x="5498"/>
        <item m="1" x="5629"/>
        <item m="1" x="3640"/>
        <item m="1" x="4967"/>
        <item m="1" x="3253"/>
        <item m="1" x="936"/>
        <item m="1" x="2460"/>
        <item m="1" x="2328"/>
        <item m="1" x="6210"/>
        <item m="1" x="2612"/>
        <item m="1" x="1118"/>
        <item m="1" x="2950"/>
        <item m="1" x="1151"/>
        <item m="1" x="2260"/>
        <item m="1" x="6228"/>
        <item m="1" x="4007"/>
        <item m="1" x="1796"/>
        <item m="1" x="4281"/>
        <item m="1" x="2590"/>
        <item m="1" x="4871"/>
        <item m="1" x="1593"/>
        <item m="1" x="2004"/>
        <item m="1" x="1386"/>
        <item m="1" x="2608"/>
        <item m="1" x="1343"/>
        <item m="1" x="6137"/>
        <item m="1" x="3449"/>
        <item m="1" x="4727"/>
        <item m="1" x="123"/>
        <item m="1" x="873"/>
        <item m="1" x="526"/>
        <item m="1" x="4239"/>
        <item m="1" x="2048"/>
        <item m="1" x="5429"/>
        <item m="1" x="5929"/>
        <item m="1" x="2363"/>
        <item m="1" x="4444"/>
        <item m="1" x="1948"/>
        <item m="1" x="2391"/>
        <item m="1" x="5981"/>
        <item m="1" x="2739"/>
        <item m="1" x="4140"/>
        <item m="1" x="4114"/>
        <item m="1" x="753"/>
        <item m="1" x="3274"/>
        <item m="1" x="5414"/>
        <item m="1" x="1557"/>
        <item m="1" x="4084"/>
        <item m="1" x="1733"/>
        <item m="1" x="119"/>
        <item m="1" x="1499"/>
        <item m="1" x="1662"/>
        <item m="1" x="2690"/>
        <item m="1" x="4471"/>
        <item m="1" x="5241"/>
        <item m="1" x="4784"/>
        <item m="1" x="1915"/>
        <item m="1" x="3299"/>
        <item m="1" x="669"/>
        <item m="1" x="5349"/>
        <item m="1" x="2286"/>
        <item m="1" x="1520"/>
        <item m="1" x="271"/>
        <item m="1" x="5408"/>
        <item m="1" x="2917"/>
        <item m="1" x="4314"/>
        <item m="1" x="5291"/>
        <item m="1" x="3090"/>
        <item m="1" x="5596"/>
        <item m="1" x="3531"/>
        <item m="1" x="406"/>
        <item m="1" x="1315"/>
        <item m="1" x="4320"/>
        <item m="1" x="4983"/>
        <item m="1" x="5804"/>
        <item m="1" x="3976"/>
        <item m="1" x="5493"/>
        <item m="1" x="5454"/>
        <item x="60"/>
        <item m="1" x="3888"/>
        <item m="1" x="5536"/>
        <item m="1" x="5768"/>
        <item m="1" x="1001"/>
        <item m="1" x="2361"/>
        <item m="1" x="2562"/>
        <item m="1" x="5002"/>
        <item m="1" x="4397"/>
        <item m="1" x="2082"/>
        <item m="1" x="2031"/>
        <item m="1" x="874"/>
        <item m="1" x="4795"/>
        <item m="1" x="5892"/>
        <item m="1" x="3205"/>
        <item m="1" x="643"/>
        <item m="1" x="775"/>
        <item m="1" x="439"/>
        <item m="1" x="5212"/>
        <item m="1" x="4875"/>
        <item m="1" x="833"/>
        <item m="1" x="6084"/>
        <item m="1" x="4867"/>
        <item m="1" x="5305"/>
        <item m="1" x="2250"/>
        <item m="1" x="1540"/>
        <item m="1" x="122"/>
        <item m="1" x="6086"/>
        <item m="1" x="3310"/>
        <item m="1" x="421"/>
        <item m="1" x="714"/>
        <item m="1" x="2297"/>
        <item m="1" x="1837"/>
        <item m="1" x="282"/>
        <item m="1" x="5859"/>
        <item m="1" x="4623"/>
        <item m="1" x="1328"/>
        <item m="1" x="1721"/>
        <item m="1" x="4107"/>
        <item m="1" x="1840"/>
        <item m="1" x="4924"/>
        <item m="1" x="608"/>
        <item m="1" x="6172"/>
        <item m="1" x="6181"/>
        <item m="1" x="5714"/>
        <item m="1" x="2002"/>
        <item m="1" x="5156"/>
        <item m="1" x="2282"/>
        <item m="1" x="4701"/>
        <item m="1" x="427"/>
        <item m="1" x="147"/>
        <item m="1" x="6240"/>
        <item m="1" x="4913"/>
        <item m="1" x="311"/>
        <item m="1" x="3064"/>
        <item m="1" x="695"/>
        <item m="1" x="2401"/>
        <item m="1" x="6255"/>
        <item m="1" x="5603"/>
        <item m="1" x="4130"/>
        <item m="1" x="1982"/>
        <item m="1" x="5016"/>
        <item m="1" x="3255"/>
        <item m="1" x="2808"/>
        <item m="1" x="1859"/>
        <item m="1" x="5427"/>
        <item m="1" x="660"/>
        <item m="1" x="3771"/>
        <item m="1" x="1789"/>
        <item m="1" x="2686"/>
        <item m="1" x="836"/>
        <item m="1" x="2372"/>
        <item m="1" x="5810"/>
        <item m="1" x="4502"/>
        <item m="1" x="3466"/>
        <item m="1" x="4700"/>
        <item m="1" x="4479"/>
        <item m="1" x="3085"/>
        <item m="1" x="5985"/>
        <item m="1" x="5960"/>
        <item m="1" x="5742"/>
        <item m="1" x="772"/>
        <item m="1" x="3918"/>
        <item m="1" x="4330"/>
        <item m="1" x="3956"/>
        <item m="1" x="2209"/>
        <item m="1" x="1061"/>
        <item m="1" x="4839"/>
        <item m="1" x="5574"/>
        <item m="1" x="1459"/>
        <item m="1" x="1910"/>
        <item m="1" x="4225"/>
        <item m="1" x="3798"/>
        <item m="1" x="575"/>
        <item m="1" x="671"/>
        <item m="1" x="5243"/>
        <item m="1" x="2268"/>
        <item m="1" x="5636"/>
        <item m="1" x="1769"/>
        <item m="1" x="2306"/>
        <item m="1" x="2203"/>
        <item m="1" x="1441"/>
        <item m="1" x="5918"/>
        <item m="1" x="5928"/>
        <item m="1" x="1574"/>
        <item m="1" x="5300"/>
        <item m="1" x="348"/>
        <item m="1" x="4728"/>
        <item m="1" x="2585"/>
        <item m="1" x="3358"/>
        <item m="1" x="853"/>
        <item m="1" x="4799"/>
        <item m="1" x="4712"/>
        <item m="1" x="5019"/>
        <item m="1" x="4275"/>
        <item m="1" x="5045"/>
        <item m="1" x="5835"/>
        <item m="1" x="1027"/>
        <item m="1" x="2504"/>
        <item m="1" x="1760"/>
        <item m="1" x="5402"/>
        <item m="1" x="1592"/>
        <item m="1" x="455"/>
        <item m="1" x="6109"/>
        <item m="1" x="4405"/>
        <item m="1" x="3885"/>
        <item m="1" x="3050"/>
        <item m="1" x="3896"/>
        <item m="1" x="1009"/>
        <item m="1" x="2062"/>
        <item m="1" x="4578"/>
        <item m="1" x="5426"/>
        <item m="1" x="2227"/>
        <item m="1" x="3782"/>
        <item m="1" x="5062"/>
        <item m="1" x="1783"/>
        <item m="1" x="2527"/>
        <item m="1" x="5235"/>
        <item m="1" x="1637"/>
        <item m="1" x="2126"/>
        <item m="1" x="4998"/>
        <item m="1" x="4663"/>
        <item m="1" x="4785"/>
        <item m="1" x="3418"/>
        <item m="1" x="1291"/>
        <item m="1" x="5131"/>
        <item m="1" x="5868"/>
        <item m="1" x="3036"/>
        <item m="1" x="126"/>
        <item m="1" x="3191"/>
        <item m="1" x="1323"/>
        <item m="1" x="3494"/>
        <item m="1" x="6000"/>
        <item m="1" x="5150"/>
        <item m="1" x="5056"/>
        <item m="1" x="2697"/>
        <item m="1" x="5138"/>
        <item m="1" x="168"/>
        <item m="1" x="5989"/>
        <item m="1" x="2974"/>
        <item m="1" x="4969"/>
        <item m="1" x="3880"/>
        <item m="1" x="1572"/>
        <item m="1" x="2357"/>
        <item m="1" x="2439"/>
        <item m="1" x="4223"/>
        <item m="1" x="3600"/>
        <item m="1" x="962"/>
        <item m="1" x="2804"/>
        <item m="1" x="692"/>
        <item m="1" x="2894"/>
        <item m="1" x="5894"/>
        <item m="1" x="5530"/>
        <item m="1" x="4289"/>
        <item m="1" x="372"/>
        <item m="1" x="3193"/>
        <item m="1" x="360"/>
        <item m="1" x="4618"/>
        <item m="1" x="3389"/>
        <item m="1" x="2473"/>
        <item m="1" x="1916"/>
        <item m="1" x="3715"/>
        <item m="1" x="5712"/>
        <item m="1" x="2673"/>
        <item m="1" x="3544"/>
        <item m="1" x="1438"/>
        <item m="1" x="489"/>
        <item m="1" x="5372"/>
        <item m="1" x="647"/>
        <item m="1" x="842"/>
        <item m="1" x="616"/>
        <item m="1" x="658"/>
        <item m="1" x="1770"/>
        <item m="1" x="3000"/>
        <item m="1" x="1842"/>
        <item x="102"/>
        <item m="1" x="5396"/>
        <item m="1" x="1358"/>
        <item m="1" x="1865"/>
        <item m="1" x="817"/>
        <item m="1" x="4016"/>
        <item m="1" x="568"/>
        <item m="1" x="5597"/>
        <item m="1" x="4624"/>
        <item m="1" x="5651"/>
        <item m="1" x="1081"/>
        <item m="1" x="2155"/>
        <item m="1" x="2170"/>
        <item m="1" x="2630"/>
        <item m="1" x="2918"/>
        <item m="1" x="3512"/>
        <item m="1" x="3995"/>
        <item m="1" x="3662"/>
        <item m="1" x="614"/>
        <item m="1" x="5112"/>
        <item m="1" x="1355"/>
        <item m="1" x="1010"/>
        <item m="1" x="1031"/>
        <item m="1" x="3141"/>
        <item m="1" x="545"/>
        <item m="1" x="4953"/>
        <item m="1" x="2037"/>
        <item m="1" x="5882"/>
        <item m="1" x="3919"/>
        <item m="1" x="4834"/>
        <item m="1" x="3231"/>
        <item m="1" x="1398"/>
        <item m="1" x="2287"/>
        <item m="1" x="1984"/>
        <item m="1" x="890"/>
        <item m="1" x="1478"/>
        <item m="1" x="5753"/>
        <item m="1" x="4324"/>
        <item m="1" x="4039"/>
        <item m="1" x="1194"/>
        <item m="1" x="3925"/>
        <item m="1" x="3897"/>
        <item m="1" x="5014"/>
        <item m="1" x="5496"/>
        <item m="1" x="175"/>
        <item m="1" x="6037"/>
        <item m="1" x="6004"/>
        <item m="1" x="2024"/>
        <item m="1" x="2195"/>
        <item m="1" x="3287"/>
        <item m="1" x="967"/>
        <item m="1" x="5446"/>
        <item m="1" x="3549"/>
        <item m="1" x="4424"/>
        <item m="1" x="5000"/>
        <item m="1" x="2184"/>
        <item m="1" x="1253"/>
        <item m="1" x="849"/>
        <item m="1" x="5986"/>
        <item m="1" x="1969"/>
        <item m="1" x="810"/>
        <item m="1" x="6057"/>
        <item m="1" x="2820"/>
        <item m="1" x="5745"/>
        <item m="1" x="3153"/>
        <item m="1" x="6222"/>
        <item m="1" x="1773"/>
        <item m="1" x="4821"/>
        <item m="1" x="278"/>
        <item m="1" x="1176"/>
        <item m="1" x="2041"/>
        <item m="1" x="4271"/>
        <item m="1" x="1935"/>
        <item m="1" x="3451"/>
        <item m="1" x="1375"/>
        <item m="1" x="1341"/>
        <item m="1" x="140"/>
        <item m="1" x="3197"/>
        <item m="1" x="2999"/>
        <item m="1" x="2003"/>
        <item m="1" x="3020"/>
        <item m="1" x="4458"/>
        <item m="1" x="2317"/>
        <item m="1" x="1197"/>
        <item m="1" x="2175"/>
        <item m="1" x="4049"/>
        <item m="1" x="5657"/>
        <item m="1" x="1764"/>
        <item m="1" x="5823"/>
        <item m="1" x="6054"/>
        <item m="1" x="5421"/>
        <item m="1" x="3258"/>
        <item m="1" x="3668"/>
        <item m="1" x="6175"/>
        <item m="1" x="1778"/>
        <item m="1" x="6248"/>
        <item m="1" x="4829"/>
        <item m="1" x="2237"/>
        <item m="1" x="5936"/>
        <item m="1" x="3305"/>
        <item m="1" x="2071"/>
        <item m="1" x="4476"/>
        <item m="1" x="3538"/>
        <item m="1" x="4917"/>
        <item m="1" x="5889"/>
        <item m="1" x="6088"/>
        <item m="1" x="204"/>
        <item m="1" x="1411"/>
        <item m="1" x="3176"/>
        <item m="1" x="878"/>
        <item m="1" x="2901"/>
        <item m="1" x="2001"/>
        <item m="1" x="4788"/>
        <item m="1" x="6128"/>
        <item m="1" x="2627"/>
        <item m="1" x="3118"/>
        <item m="1" x="4729"/>
        <item m="1" x="1949"/>
        <item m="1" x="5790"/>
        <item m="1" x="4182"/>
        <item m="1" x="939"/>
        <item m="1" x="3314"/>
        <item m="1" x="4808"/>
        <item m="1" x="2040"/>
        <item m="1" x="5748"/>
        <item m="1" x="5124"/>
        <item m="1" x="4687"/>
        <item m="1" x="5569"/>
        <item m="1" x="226"/>
        <item m="1" x="1215"/>
        <item m="1" x="5978"/>
        <item m="1" x="996"/>
        <item m="1" x="5395"/>
        <item m="1" x="4825"/>
        <item m="1" x="2013"/>
        <item m="1" x="5814"/>
        <item m="1" x="888"/>
        <item m="1" x="3370"/>
        <item m="1" x="5035"/>
        <item m="1" x="1692"/>
        <item m="1" x="2177"/>
        <item m="1" x="1818"/>
        <item m="1" x="5559"/>
        <item m="1" x="6080"/>
        <item m="1" x="3033"/>
        <item m="1" x="5079"/>
        <item m="1" x="1345"/>
        <item m="1" x="3361"/>
        <item m="1" x="3296"/>
        <item m="1" x="4647"/>
        <item m="1" x="5306"/>
        <item m="1" x="2114"/>
        <item m="1" x="4315"/>
        <item m="1" x="5363"/>
        <item m="1" x="5874"/>
        <item m="1" x="5162"/>
        <item m="1" x="3399"/>
        <item m="1" x="250"/>
        <item m="1" x="3185"/>
        <item m="1" x="1568"/>
        <item m="1" x="5433"/>
        <item m="1" x="4010"/>
        <item m="1" x="3481"/>
        <item m="1" x="1223"/>
        <item m="1" x="4139"/>
        <item m="1" x="781"/>
        <item m="1" x="363"/>
        <item m="1" x="4165"/>
        <item m="1" x="5909"/>
        <item m="1" x="1102"/>
        <item m="1" x="3664"/>
        <item m="1" x="116"/>
        <item m="1" x="4838"/>
        <item m="1" x="1180"/>
        <item m="1" x="296"/>
        <item m="1" x="377"/>
        <item m="1" x="1301"/>
        <item x="57"/>
        <item m="1" x="700"/>
        <item m="1" x="3772"/>
        <item m="1" x="2308"/>
        <item m="1" x="3867"/>
        <item m="1" x="5442"/>
        <item m="1" x="2670"/>
        <item m="1" x="394"/>
        <item m="1" x="792"/>
        <item m="1" x="6204"/>
        <item m="1" x="3271"/>
        <item m="1" x="1453"/>
        <item m="1" x="4620"/>
        <item m="1" x="1546"/>
        <item m="1" x="4899"/>
        <item m="1" x="4020"/>
        <item m="1" x="909"/>
        <item m="1" x="5799"/>
        <item m="1" x="1352"/>
        <item m="1" x="3201"/>
        <item m="1" x="2084"/>
        <item m="1" x="1899"/>
        <item m="1" x="3639"/>
        <item m="1" x="2262"/>
        <item m="1" x="2329"/>
        <item m="1" x="5123"/>
        <item m="1" x="724"/>
        <item m="1" x="1849"/>
        <item m="1" x="1768"/>
        <item m="1" x="4483"/>
        <item m="1" x="2450"/>
        <item m="1" x="2356"/>
        <item m="1" x="5911"/>
        <item m="1" x="4035"/>
        <item m="1" x="3723"/>
        <item m="1" x="3496"/>
        <item m="1" x="3837"/>
        <item m="1" x="2667"/>
        <item m="1" x="328"/>
        <item m="1" x="2547"/>
        <item m="1" x="5008"/>
        <item m="1" x="776"/>
        <item m="1" x="445"/>
        <item m="1" x="5855"/>
        <item m="1" x="2863"/>
        <item m="1" x="1372"/>
        <item m="1" x="3948"/>
        <item m="1" x="711"/>
        <item m="1" x="145"/>
        <item m="1" x="2236"/>
        <item m="1" x="4060"/>
        <item m="1" x="2145"/>
        <item m="1" x="2065"/>
        <item m="1" x="1567"/>
        <item m="1" x="1519"/>
        <item m="1" x="2529"/>
        <item m="1" x="493"/>
        <item m="1" x="5434"/>
        <item m="1" x="1957"/>
        <item m="1" x="6236"/>
        <item m="1" x="5632"/>
        <item m="1" x="3727"/>
        <item m="1" x="4606"/>
        <item m="1" x="2367"/>
        <item m="1" x="285"/>
        <item m="1" x="2493"/>
        <item m="1" x="4541"/>
        <item m="1" x="1149"/>
        <item m="1" x="4955"/>
        <item m="1" x="1077"/>
        <item m="1" x="4145"/>
        <item m="1" x="2783"/>
        <item m="1" x="5376"/>
        <item m="1" x="2910"/>
        <item m="1" x="3039"/>
        <item m="1" x="520"/>
        <item m="1" x="3863"/>
        <item m="1" x="5459"/>
        <item m="1" x="3943"/>
        <item m="1" x="3547"/>
        <item m="1" x="5570"/>
        <item m="1" x="4006"/>
        <item m="1" x="4173"/>
        <item m="1" x="5933"/>
        <item m="1" x="4468"/>
        <item m="1" x="3605"/>
        <item m="1" x="2020"/>
        <item m="1" x="414"/>
        <item m="1" x="5711"/>
        <item m="1" x="2232"/>
        <item m="1" x="3007"/>
        <item m="1" x="2878"/>
        <item m="1" x="1996"/>
        <item m="1" x="1374"/>
        <item m="1" x="4523"/>
        <item m="1" x="3658"/>
        <item m="1" x="4575"/>
        <item m="1" x="2615"/>
        <item m="1" x="531"/>
        <item m="1" x="677"/>
        <item m="1" x="2934"/>
        <item m="1" x="1265"/>
        <item m="1" x="1393"/>
        <item m="1" x="2679"/>
        <item m="1" x="1218"/>
        <item m="1" x="3359"/>
        <item m="1" x="5145"/>
        <item m="1" x="6162"/>
        <item m="1" x="4704"/>
        <item m="1" x="4467"/>
        <item m="1" x="4699"/>
        <item m="1" x="6090"/>
        <item m="1" x="3433"/>
        <item m="1" x="3986"/>
        <item m="1" x="1791"/>
        <item m="1" x="2106"/>
        <item m="1" x="2913"/>
        <item m="1" x="3768"/>
        <item m="1" x="1382"/>
        <item m="1" x="5575"/>
        <item m="1" x="3442"/>
        <item m="1" x="3578"/>
        <item m="1" x="5163"/>
        <item m="1" x="2296"/>
        <item m="1" x="3670"/>
        <item m="1" x="621"/>
        <item m="1" x="662"/>
        <item m="1" x="6059"/>
        <item m="1" x="4922"/>
        <item m="1" x="312"/>
        <item m="1" x="1418"/>
        <item m="1" x="5210"/>
        <item m="1" x="1961"/>
        <item m="1" x="5992"/>
        <item m="1" x="3454"/>
        <item m="1" x="2743"/>
        <item m="1" x="5678"/>
        <item m="1" x="1521"/>
        <item m="1" x="3766"/>
        <item m="1" x="276"/>
        <item m="1" x="2752"/>
        <item m="1" x="2344"/>
        <item m="1" x="5301"/>
        <item m="1" x="6252"/>
        <item m="1" x="422"/>
        <item m="1" x="2280"/>
        <item m="1" x="2959"/>
        <item m="1" x="5606"/>
        <item m="1" x="832"/>
        <item m="1" x="2586"/>
        <item m="1" x="5539"/>
        <item m="1" x="577"/>
        <item m="1" x="3805"/>
        <item m="1" x="631"/>
        <item m="1" x="1649"/>
        <item m="1" x="1169"/>
        <item m="1" x="4999"/>
        <item m="1" x="5297"/>
        <item m="1" x="1620"/>
        <item m="1" x="4510"/>
        <item m="1" x="5545"/>
        <item m="1" x="4012"/>
        <item m="1" x="523"/>
        <item m="1" x="1168"/>
        <item m="1" x="1944"/>
        <item m="1" x="5639"/>
        <item m="1" x="4841"/>
        <item m="1" x="1822"/>
        <item m="1" x="6026"/>
        <item m="1" x="2652"/>
        <item m="1" x="1931"/>
        <item m="1" x="2834"/>
        <item m="1" x="146"/>
        <item m="1" x="4613"/>
        <item m="1" x="661"/>
        <item m="1" x="1660"/>
        <item m="1" x="4536"/>
        <item m="1" x="3977"/>
        <item m="1" x="3125"/>
        <item m="1" x="2018"/>
        <item m="1" x="3615"/>
        <item m="1" x="1874"/>
        <item m="1" x="4385"/>
        <item m="1" x="2803"/>
        <item m="1" x="1657"/>
        <item m="1" x="597"/>
        <item m="1" x="1088"/>
        <item m="1" x="1851"/>
        <item m="1" x="3825"/>
        <item m="1" x="3346"/>
        <item m="1" x="3196"/>
        <item m="1" x="2188"/>
        <item m="1" x="1668"/>
        <item m="1" x="252"/>
        <item m="1" x="5805"/>
        <item m="1" x="4863"/>
        <item m="1" x="1033"/>
        <item m="1" x="2965"/>
        <item m="1" x="1409"/>
        <item m="1" x="1150"/>
        <item m="1" x="2924"/>
        <item m="1" x="121"/>
        <item m="1" x="2454"/>
        <item m="1" x="1909"/>
        <item m="1" x="4469"/>
        <item m="1" x="4749"/>
        <item m="1" x="166"/>
        <item m="1" x="1255"/>
        <item m="1" x="4323"/>
        <item m="1" x="975"/>
        <item m="1" x="1510"/>
        <item m="1" x="3756"/>
        <item m="1" x="345"/>
        <item m="1" x="2467"/>
        <item m="1" x="4520"/>
        <item m="1" x="5906"/>
        <item m="1" x="5129"/>
        <item m="1" x="783"/>
        <item m="1" x="4169"/>
        <item m="1" x="5784"/>
        <item m="1" x="2851"/>
        <item m="1" x="3862"/>
        <item m="1" x="4154"/>
        <item m="1" x="5984"/>
        <item m="1" x="1123"/>
        <item m="1" x="2721"/>
        <item m="1" x="3778"/>
        <item m="1" x="1626"/>
        <item m="1" x="6142"/>
        <item m="1" x="1827"/>
        <item m="1" x="1641"/>
        <item m="1" x="5946"/>
        <item m="1" x="4530"/>
        <item m="1" x="1264"/>
        <item m="1" x="3254"/>
        <item m="1" x="2254"/>
        <item m="1" x="4805"/>
        <item m="1" x="5052"/>
        <item m="1" x="3958"/>
        <item m="1" x="1741"/>
        <item m="1" x="5250"/>
        <item m="1" x="5858"/>
        <item m="1" x="1071"/>
        <item m="1" x="3169"/>
        <item m="1" x="5140"/>
        <item m="1" x="4959"/>
        <item m="1" x="1373"/>
        <item m="1" x="208"/>
        <item m="1" x="3267"/>
        <item m="1" x="5612"/>
        <item m="1" x="980"/>
        <item m="1" x="413"/>
        <item m="1" x="4816"/>
        <item m="1" x="2558"/>
        <item m="1" x="5548"/>
        <item m="1" x="3881"/>
        <item m="1" x="3513"/>
        <item m="1" x="5720"/>
        <item m="1" x="1845"/>
        <item m="1" x="5619"/>
        <item m="1" x="884"/>
        <item m="1" x="6064"/>
        <item m="1" x="5723"/>
        <item m="1" x="3290"/>
        <item m="1" x="5717"/>
        <item m="1" x="1308"/>
        <item m="1" x="3031"/>
        <item m="1" x="1654"/>
        <item m="1" x="3637"/>
        <item m="1" x="2226"/>
        <item m="1" x="5205"/>
        <item m="1" x="835"/>
        <item m="1" x="5896"/>
        <item m="1" x="5037"/>
        <item m="1" x="2285"/>
        <item m="1" x="307"/>
        <item m="1" x="1830"/>
        <item m="1" x="3653"/>
        <item m="1" x="3307"/>
        <item m="1" x="5179"/>
        <item m="1" x="5355"/>
        <item m="1" x="5416"/>
        <item m="1" x="3250"/>
        <item m="1" x="859"/>
        <item m="1" x="2407"/>
        <item m="1" x="5053"/>
        <item m="1" x="3906"/>
        <item m="1" x="138"/>
        <item m="1" x="688"/>
        <item m="1" x="2310"/>
        <item m="1" x="461"/>
        <item m="1" x="3096"/>
        <item m="1" x="2516"/>
        <item m="1" x="2081"/>
        <item m="1" x="4401"/>
        <item m="1" x="4855"/>
        <item m="1" x="2530"/>
        <item m="1" x="2849"/>
        <item m="1" x="3332"/>
        <item m="1" x="5470"/>
        <item m="1" x="3587"/>
        <item m="1" x="4388"/>
        <item m="1" x="1490"/>
        <item m="1" x="4714"/>
        <item m="1" x="4089"/>
        <item m="1" x="1872"/>
        <item m="1" x="3696"/>
        <item m="1" x="2663"/>
        <item m="1" x="1530"/>
        <item m="1" x="5875"/>
        <item m="1" x="2521"/>
        <item m="1" x="6161"/>
        <item m="1" x="117"/>
        <item m="1" x="1463"/>
        <item m="1" x="5111"/>
        <item m="1" x="2245"/>
        <item m="1" x="132"/>
        <item m="1" x="3568"/>
        <item m="1" x="4284"/>
        <item m="1" x="907"/>
        <item m="1" x="3608"/>
        <item m="1" x="383"/>
        <item m="1" x="5765"/>
        <item m="1" x="286"/>
        <item x="29"/>
        <item m="1" x="5354"/>
        <item m="1" x="4964"/>
        <item m="1" x="1737"/>
        <item m="1" x="457"/>
        <item m="1" x="2815"/>
        <item m="1" x="200"/>
        <item m="1" x="1035"/>
        <item m="1" x="2842"/>
        <item m="1" x="4299"/>
        <item m="1" x="4217"/>
        <item m="1" x="3077"/>
        <item m="1" x="603"/>
        <item m="1" x="4868"/>
        <item m="1" x="1863"/>
        <item m="1" x="2732"/>
        <item m="1" x="5265"/>
        <item m="1" x="4133"/>
        <item m="1" x="2708"/>
        <item m="1" x="5707"/>
        <item m="1" x="3120"/>
        <item m="1" x="3735"/>
        <item m="1" x="5146"/>
        <item m="1" x="3441"/>
        <item m="1" x="1536"/>
        <item m="1" x="403"/>
        <item m="1" x="6021"/>
        <item m="1" x="730"/>
        <item m="1" x="3985"/>
        <item m="1" x="1145"/>
        <item m="1" x="4609"/>
        <item m="1" x="3883"/>
        <item m="1" x="2456"/>
        <item m="1" x="2026"/>
        <item m="1" x="4146"/>
        <item m="1" x="2689"/>
        <item m="1" x="1971"/>
        <item m="1" x="1172"/>
        <item m="1" x="2080"/>
        <item m="1" x="5727"/>
        <item m="1" x="5286"/>
        <item m="1" x="3103"/>
        <item m="1" x="1376"/>
        <item m="1" x="3507"/>
        <item m="1" x="3900"/>
        <item m="1" x="3083"/>
        <item m="1" x="719"/>
        <item m="1" x="1093"/>
        <item m="1" x="4904"/>
        <item m="1" x="3928"/>
        <item m="1" x="2577"/>
        <item m="1" x="4465"/>
        <item m="1" x="4778"/>
        <item m="1" x="2954"/>
        <item m="1" x="3721"/>
        <item m="1" x="1333"/>
        <item x="91"/>
        <item m="1" x="3291"/>
        <item m="1" x="5485"/>
        <item m="1" x="921"/>
        <item x="70"/>
        <item m="1" x="1989"/>
        <item m="1" x="6005"/>
        <item m="1" x="3269"/>
        <item m="1" x="6196"/>
        <item m="1" x="6170"/>
        <item m="1" x="4077"/>
        <item m="1" x="3459"/>
        <item m="1" x="256"/>
        <item m="1" x="369"/>
        <item m="1" x="5956"/>
        <item m="1" x="2012"/>
        <item m="1" x="4684"/>
        <item m="1" x="5118"/>
        <item m="1" x="5783"/>
        <item m="1" x="5094"/>
        <item m="1" x="2405"/>
        <item m="1" x="4081"/>
        <item m="1" x="4857"/>
        <item m="1" x="1371"/>
        <item x="84"/>
        <item m="1" x="3325"/>
        <item m="1" x="5428"/>
        <item m="1" x="2119"/>
        <item m="1" x="3737"/>
        <item m="1" x="4389"/>
        <item m="1" x="475"/>
        <item m="1" x="2606"/>
        <item m="1" x="2345"/>
        <item m="1" x="1896"/>
        <item m="1" x="2077"/>
        <item m="1" x="5489"/>
        <item m="1" x="825"/>
        <item m="1" x="3750"/>
        <item m="1" x="5422"/>
        <item m="1" x="6191"/>
        <item m="1" x="3002"/>
        <item m="1" x="5170"/>
        <item m="1" x="2775"/>
        <item m="1" x="1439"/>
        <item m="1" x="1276"/>
        <item m="1" x="2621"/>
        <item m="1" x="845"/>
        <item m="1" x="6068"/>
        <item m="1" x="4680"/>
        <item m="1" x="4054"/>
        <item m="1" x="2773"/>
        <item m="1" x="872"/>
        <item m="1" x="5398"/>
        <item m="1" x="2508"/>
        <item m="1" x="4921"/>
        <item m="1" x="946"/>
        <item m="1" x="5744"/>
        <item m="1" x="2191"/>
        <item m="1" x="3775"/>
        <item m="1" x="5360"/>
        <item m="1" x="6239"/>
        <item m="1" x="1836"/>
        <item m="1" x="813"/>
        <item m="1" x="1111"/>
        <item m="1" x="3794"/>
        <item m="1" x="1420"/>
        <item m="1" x="1320"/>
        <item m="1" x="5450"/>
        <item m="1" x="219"/>
        <item m="1" x="1130"/>
        <item m="1" x="6065"/>
        <item m="1" x="562"/>
        <item m="1" x="993"/>
        <item m="1" x="3187"/>
        <item m="1" x="2294"/>
        <item m="1" x="5758"/>
        <item m="1" x="5058"/>
        <item m="1" x="5447"/>
        <item m="1" x="503"/>
        <item m="1" x="2009"/>
        <item m="1" x="3048"/>
        <item m="1" x="6116"/>
        <item m="1" x="3312"/>
        <item m="1" x="492"/>
        <item m="1" x="3097"/>
        <item m="1" x="3610"/>
        <item m="1" x="4994"/>
        <item m="1" x="5387"/>
        <item m="1" x="2403"/>
        <item m="1" x="519"/>
        <item m="1" x="487"/>
        <item m="1" x="1447"/>
        <item m="1" x="3645"/>
        <item m="1" x="5698"/>
        <item m="1" x="1782"/>
        <item m="1" x="1838"/>
        <item m="1" x="4861"/>
        <item m="1" x="2479"/>
        <item m="1" x="5267"/>
        <item m="1" x="1175"/>
        <item m="1" x="1656"/>
        <item m="1" x="3907"/>
        <item m="1" x="828"/>
        <item m="1" x="1802"/>
        <item m="1" x="3244"/>
        <item m="1" x="636"/>
        <item m="1" x="3941"/>
        <item m="1" x="2129"/>
        <item m="1" x="2093"/>
        <item m="1" x="504"/>
        <item m="1" x="1383"/>
        <item m="1" x="365"/>
        <item m="1" x="4916"/>
        <item m="1" x="5510"/>
        <item m="1" x="973"/>
        <item m="1" x="3580"/>
        <item m="1" x="3767"/>
        <item m="1" x="5125"/>
        <item m="1" x="5471"/>
        <item m="1" x="991"/>
        <item m="1" x="3356"/>
        <item m="1" x="5039"/>
        <item m="1" x="1772"/>
        <item m="1" x="1202"/>
        <item m="1" x="5913"/>
        <item m="1" x="3792"/>
        <item m="1" x="3209"/>
        <item m="1" x="448"/>
        <item m="1" x="899"/>
        <item m="1" x="430"/>
        <item m="1" x="4822"/>
        <item m="1" x="2987"/>
        <item m="1" x="2181"/>
        <item m="1" x="1942"/>
        <item m="1" x="379"/>
        <item m="1" x="1237"/>
        <item m="1" x="4293"/>
        <item m="1" x="3776"/>
        <item m="1" x="594"/>
        <item m="1" x="1036"/>
        <item m="1" x="2115"/>
        <item m="1" x="3738"/>
        <item m="1" x="3974"/>
        <item m="1" x="508"/>
        <item m="1" x="3719"/>
        <item m="1" x="1012"/>
        <item m="1" x="3594"/>
        <item m="1" x="3330"/>
        <item m="1" x="2781"/>
        <item m="1" x="4571"/>
        <item m="1" x="4946"/>
        <item m="1" x="4828"/>
        <item m="1" x="524"/>
        <item m="1" x="892"/>
        <item m="1" x="3624"/>
        <item m="1" x="170"/>
        <item m="1" x="5262"/>
        <item m="1" x="815"/>
        <item m="1" x="1538"/>
        <item m="1" x="367"/>
        <item m="1" x="205"/>
        <item m="1" x="4597"/>
        <item m="1" x="3849"/>
        <item m="1" x="782"/>
        <item m="1" x="1182"/>
        <item m="1" x="3071"/>
        <item m="1" x="760"/>
        <item m="1" x="4513"/>
        <item m="1" x="798"/>
        <item m="1" x="248"/>
        <item m="1" x="1920"/>
        <item m="1" x="2749"/>
        <item m="1" x="304"/>
        <item m="1" x="682"/>
        <item m="1" x="5343"/>
        <item m="1" x="5239"/>
        <item m="1" x="2397"/>
        <item m="1" x="5682"/>
        <item m="1" x="281"/>
        <item m="1" x="1642"/>
        <item m="1" x="4378"/>
        <item m="1" x="5217"/>
        <item m="1" x="2496"/>
        <item m="1" x="2897"/>
        <item m="1" x="1066"/>
        <item m="1" x="1337"/>
        <item m="1" x="3632"/>
        <item m="1" x="5568"/>
        <item m="1" x="3322"/>
        <item m="1" x="3663"/>
        <item m="1" x="2220"/>
        <item m="1" x="1623"/>
        <item m="1" x="1666"/>
        <item m="1" x="1559"/>
        <item m="1" x="211"/>
        <item m="1" x="3453"/>
        <item m="1" x="565"/>
        <item m="1" x="3791"/>
        <item m="1" x="4846"/>
        <item m="1" x="3005"/>
        <item m="1" x="1103"/>
        <item m="1" x="1049"/>
        <item m="1" x="2074"/>
        <item m="1" x="819"/>
        <item m="1" x="3998"/>
        <item m="1" x="1208"/>
        <item m="1" x="2208"/>
        <item m="1" x="464"/>
        <item m="1" x="1473"/>
        <item m="1" x="2724"/>
        <item m="1" x="3221"/>
        <item m="1" x="610"/>
        <item m="1" x="4073"/>
        <item m="1" x="3028"/>
        <item m="1" x="3647"/>
        <item m="1" x="3243"/>
        <item m="1" x="1329"/>
        <item m="1" x="4908"/>
        <item m="1" x="4951"/>
        <item m="1" x="901"/>
        <item x="40"/>
        <item m="1" x="5937"/>
        <item m="1" x="4791"/>
        <item m="1" x="1943"/>
        <item m="1" x="533"/>
        <item m="1" x="118"/>
        <item m="1" x="1761"/>
        <item m="1" x="5604"/>
        <item m="1" x="3331"/>
        <item m="1" x="4404"/>
        <item m="1" x="2189"/>
        <item m="1" x="6035"/>
        <item m="1" x="3087"/>
        <item m="1" x="3802"/>
        <item m="1" x="5441"/>
        <item m="1" x="5724"/>
        <item m="1" x="3099"/>
        <item m="1" x="347"/>
        <item m="1" x="784"/>
        <item m="1" x="3080"/>
        <item m="1" x="1716"/>
        <item m="1" x="5644"/>
        <item m="1" x="5469"/>
        <item m="1" x="5332"/>
        <item m="1" x="4131"/>
        <item m="1" x="4880"/>
        <item m="1" x="1747"/>
        <item m="1" x="641"/>
        <item m="1" x="4206"/>
        <item m="1" x="4612"/>
        <item m="1" x="4818"/>
        <item m="1" x="5789"/>
        <item m="1" x="4854"/>
        <item m="1" x="1217"/>
        <item m="1" x="852"/>
        <item m="1" x="578"/>
        <item m="1" x="2833"/>
        <item m="1" x="277"/>
        <item m="1" x="3718"/>
        <item m="1" x="3575"/>
        <item m="1" x="602"/>
        <item m="1" x="4150"/>
        <item m="1" x="6095"/>
        <item m="1" x="1283"/>
        <item m="1" x="179"/>
        <item m="1" x="1561"/>
        <item m="1" x="3567"/>
        <item m="1" x="5195"/>
        <item m="1" x="6030"/>
        <item m="1" x="5523"/>
        <item m="1" x="5007"/>
        <item m="1" x="933"/>
        <item m="1" x="1731"/>
        <item m="1" x="452"/>
        <item m="1" x="4008"/>
        <item m="1" x="6012"/>
        <item m="1" x="6149"/>
        <item m="1" x="5303"/>
        <item m="1" x="4639"/>
        <item m="1" x="2537"/>
        <item m="1" x="1755"/>
        <item m="1" x="139"/>
        <item m="1" x="4626"/>
        <item m="1" x="2502"/>
        <item m="1" x="4835"/>
        <item m="1" x="114"/>
        <item m="1" x="1589"/>
        <item m="1" x="5003"/>
        <item m="1" x="2240"/>
        <item m="1" x="2698"/>
        <item m="1" x="963"/>
        <item m="1" x="5229"/>
        <item m="1" x="3528"/>
        <item m="1" x="5263"/>
        <item m="1" x="3200"/>
        <item m="1" x="5808"/>
        <item m="1" x="4737"/>
        <item m="1" x="266"/>
        <item m="1" x="2574"/>
        <item m="1" x="2709"/>
        <item m="1" x="1191"/>
        <item m="1" x="1723"/>
        <item m="1" x="1327"/>
        <item m="1" x="128"/>
        <item m="1" x="5542"/>
        <item m="1" x="2687"/>
        <item m="1" x="5658"/>
        <item m="1" x="935"/>
        <item m="1" x="2774"/>
        <item m="1" x="2030"/>
        <item m="1" x="2727"/>
        <item m="1" x="3378"/>
        <item m="1" x="3336"/>
        <item m="1" x="3760"/>
        <item m="1" x="5732"/>
        <item m="1" x="1598"/>
        <item m="1" x="1205"/>
        <item m="1" x="1571"/>
        <item m="1" x="5046"/>
        <item m="1" x="1310"/>
        <item m="1" x="2856"/>
        <item m="1" x="3107"/>
        <item m="1" x="5017"/>
        <item m="1" x="5567"/>
        <item m="1" x="2995"/>
        <item m="1" x="6171"/>
        <item m="1" x="514"/>
        <item m="1" x="6111"/>
        <item m="1" x="1339"/>
        <item m="1" x="1990"/>
        <item m="1" x="1809"/>
        <item m="1" x="881"/>
        <item m="1" x="5173"/>
        <item m="1" x="1160"/>
        <item m="1" x="4162"/>
        <item m="1" x="944"/>
        <item m="1" x="2553"/>
        <item m="1" x="3295"/>
        <item m="1" x="592"/>
        <item m="1" x="4384"/>
        <item m="1" x="4125"/>
        <item m="1" x="4992"/>
        <item m="1" x="880"/>
        <item m="1" x="4238"/>
        <item m="1" x="4672"/>
        <item m="1" x="2320"/>
        <item m="1" x="5099"/>
        <item m="1" x="4893"/>
        <item m="1" x="2536"/>
        <item m="1" x="3864"/>
        <item m="1" x="2967"/>
        <item m="1" x="5725"/>
        <item m="1" x="1072"/>
        <item m="1" x="5240"/>
        <item m="1" x="3656"/>
        <item m="1" x="350"/>
        <item m="1" x="3655"/>
        <item m="1" x="415"/>
        <item m="1" x="657"/>
        <item m="1" x="3702"/>
        <item m="1" x="1894"/>
        <item m="1" x="5747"/>
        <item m="1" x="4546"/>
        <item m="1" x="1489"/>
        <item m="1" x="795"/>
        <item m="1" x="1494"/>
        <item m="1" x="2139"/>
        <item m="1" x="2765"/>
        <item m="1" x="3611"/>
        <item m="1" x="1481"/>
        <item m="1" x="301"/>
        <item m="1" x="6200"/>
        <item m="1" x="6154"/>
        <item x="105"/>
        <item m="1" x="3938"/>
        <item m="1" x="971"/>
        <item m="1" x="3491"/>
        <item m="1" x="2293"/>
        <item m="1" x="4041"/>
        <item m="1" x="4179"/>
        <item m="1" x="6058"/>
        <item m="1" x="5424"/>
        <item m="1" x="3838"/>
        <item m="1" x="2470"/>
        <item m="1" x="4366"/>
        <item m="1" x="3810"/>
        <item m="1" x="5876"/>
        <item m="1" x="822"/>
        <item m="1" x="272"/>
        <item m="1" x="392"/>
        <item m="1" x="3432"/>
        <item m="1" x="3182"/>
        <item m="1" x="1297"/>
        <item m="1" x="2248"/>
        <item m="1" x="2883"/>
        <item m="1" x="1632"/>
        <item m="1" x="4920"/>
        <item m="1" x="2972"/>
        <item m="1" x="4296"/>
        <item m="1" x="5538"/>
        <item m="1" x="5208"/>
        <item m="1" x="141"/>
        <item m="1" x="1259"/>
        <item m="1" x="1199"/>
        <item m="1" x="1112"/>
        <item m="1" x="4633"/>
        <item m="1" x="214"/>
        <item m="1" x="196"/>
        <item m="1" x="409"/>
        <item m="1" x="465"/>
        <item m="1" x="1881"/>
        <item m="1" x="484"/>
        <item m="1" x="5857"/>
        <item m="1" x="2722"/>
        <item m="1" x="267"/>
        <item m="1" x="4971"/>
        <item m="1" x="2278"/>
        <item m="1" x="2138"/>
        <item m="1" x="2811"/>
        <item m="1" x="3951"/>
        <item m="1" x="1392"/>
        <item m="1" x="4794"/>
        <item m="1" x="4645"/>
        <item m="1" x="400"/>
        <item m="1" x="4340"/>
        <item m="1" x="4277"/>
        <item m="1" x="1914"/>
        <item m="1" x="5149"/>
        <item m="1" x="4420"/>
        <item m="1" x="2241"/>
        <item m="1" x="5665"/>
        <item m="1" x="830"/>
        <item m="1" x="3809"/>
        <item m="1" x="1340"/>
        <item m="1" x="1618"/>
        <item m="1" x="5519"/>
        <item m="1" x="564"/>
        <item m="1" x="4192"/>
        <item m="1" x="4683"/>
        <item m="1" x="2053"/>
        <item m="1" x="6179"/>
        <item m="1" x="3192"/>
        <item m="1" x="2977"/>
        <item m="1" x="2213"/>
        <item m="1" x="649"/>
        <item m="1" x="189"/>
        <item m="1" x="3462"/>
        <item m="1" x="2198"/>
        <item m="1" x="1523"/>
        <item m="1" x="4760"/>
        <item m="1" x="3734"/>
        <item m="1" x="5072"/>
        <item m="1" x="2112"/>
        <item m="1" x="4640"/>
        <item m="1" x="5716"/>
        <item m="1" x="5706"/>
        <item m="1" x="4075"/>
        <item m="1" x="2049"/>
        <item m="1" x="388"/>
        <item m="1" x="640"/>
        <item m="1" x="2438"/>
        <item m="1" x="4441"/>
        <item m="1" x="1564"/>
        <item m="1" x="4869"/>
        <item m="1" x="4434"/>
        <item m="1" x="2895"/>
        <item m="1" x="1999"/>
        <item m="1" x="857"/>
        <item m="1" x="4534"/>
        <item m="1" x="2583"/>
        <item m="1" x="2980"/>
        <item m="1" x="4710"/>
        <item m="1" x="1610"/>
        <item m="1" x="4930"/>
        <item m="1" x="3122"/>
        <item m="1" x="4473"/>
        <item m="1" x="2243"/>
        <item m="1" x="5890"/>
        <item m="1" x="5879"/>
        <item m="1" x="390"/>
        <item m="1" x="2133"/>
        <item m="1" x="4697"/>
        <item m="1" x="5815"/>
        <item m="1" x="2938"/>
        <item m="1" x="5838"/>
        <item m="1" x="3072"/>
        <item x="62"/>
        <item m="1" x="667"/>
        <item x="69"/>
        <item m="1" x="5390"/>
        <item m="1" x="3216"/>
        <item m="1" x="2597"/>
        <item m="1" x="3249"/>
        <item m="1" x="1697"/>
        <item m="1" x="1535"/>
        <item m="1" x="5331"/>
        <item m="1" x="4877"/>
        <item m="1" x="2880"/>
        <item m="1" x="4657"/>
        <item m="1" x="2171"/>
        <item m="1" x="2118"/>
        <item m="1" x="1245"/>
        <item m="1" x="4198"/>
        <item m="1" x="585"/>
        <item m="1" x="644"/>
        <item m="1" x="5759"/>
        <item m="1" x="5561"/>
        <item m="1" x="4761"/>
        <item m="1" x="5602"/>
        <item m="1" x="3602"/>
        <item m="1" x="5348"/>
        <item m="1" x="354"/>
        <item m="1" x="3021"/>
        <item m="1" x="2461"/>
        <item m="1" x="3478"/>
        <item m="1" x="801"/>
        <item m="1" x="5553"/>
        <item m="1" x="4352"/>
        <item m="1" x="5222"/>
        <item m="1" x="2338"/>
        <item m="1" x="4216"/>
        <item m="1" x="426"/>
        <item m="1" x="3915"/>
        <item m="1" x="2000"/>
        <item m="1" x="535"/>
        <item m="1" x="1400"/>
        <item m="1" x="2394"/>
        <item m="1" x="5499"/>
        <item m="1" x="5964"/>
        <item m="1" x="3700"/>
        <item m="1" x="893"/>
        <item m="1" x="2794"/>
        <item m="1" x="3550"/>
        <item m="1" x="799"/>
        <item m="1" x="4725"/>
        <item m="1" x="5620"/>
        <item m="1" x="1956"/>
        <item m="1" x="1953"/>
        <item x="68"/>
        <item m="1" x="264"/>
        <item m="1" x="4064"/>
        <item m="1" x="5987"/>
        <item m="1" x="3816"/>
        <item m="1" x="915"/>
        <item m="1" x="4457"/>
        <item m="1" x="611"/>
        <item m="1" x="4631"/>
        <item m="1" x="2566"/>
        <item m="1" x="4886"/>
        <item m="1" x="425"/>
        <item m="1" x="6208"/>
        <item m="1" x="5202"/>
        <item m="1" x="5042"/>
        <item m="1" x="2097"/>
        <item m="1" x="163"/>
        <item x="79"/>
        <item m="1" x="3633"/>
        <item m="1" x="4391"/>
        <item m="1" x="5615"/>
        <item m="1" x="2196"/>
        <item m="1" x="2069"/>
        <item m="1" x="3065"/>
        <item m="1" x="4935"/>
        <item m="1" x="2916"/>
        <item m="1" x="2096"/>
        <item m="1" x="2370"/>
        <item m="1" x="5403"/>
        <item m="1" x="3285"/>
        <item m="1" x="481"/>
        <item m="1" x="3371"/>
        <item m="1" x="3011"/>
        <item m="1" x="2648"/>
        <item m="1" x="1268"/>
        <item m="1" x="3703"/>
        <item m="1" x="5854"/>
        <item m="1" x="1467"/>
        <item m="1" x="1621"/>
        <item m="1" x="2549"/>
        <item m="1" x="158"/>
        <item m="1" x="3135"/>
        <item m="1" x="934"/>
        <item m="1" x="2509"/>
        <item m="1" x="1485"/>
        <item m="1" x="573"/>
        <item m="1" x="3248"/>
        <item m="1" x="4803"/>
        <item m="1" x="912"/>
        <item m="1" x="5701"/>
        <item m="1" x="2859"/>
        <item m="1" x="3595"/>
        <item m="1" x="5043"/>
        <item m="1" x="5840"/>
        <item m="1" x="4563"/>
        <item m="1" x="1091"/>
        <item m="1" x="2806"/>
        <item m="1" x="1525"/>
        <item m="1" x="1153"/>
        <item m="1" x="3027"/>
        <item m="1" x="4068"/>
        <item m="1" x="5025"/>
        <item m="1" x="2056"/>
        <item m="1" x="3417"/>
        <item m="1" x="5562"/>
        <item m="1" x="5220"/>
        <item m="1" x="1460"/>
        <item m="1" x="5187"/>
        <item m="1" x="3471"/>
        <item m="1" x="5157"/>
        <item m="1" x="5400"/>
        <item m="1" x="5461"/>
        <item m="1" x="5266"/>
        <item m="1" x="1368"/>
        <item m="1" x="2517"/>
        <item m="1" x="2902"/>
        <item m="1" x="895"/>
        <item m="1" x="2801"/>
        <item m="1" x="4215"/>
        <item m="1" x="2008"/>
        <item m="1" x="351"/>
        <item m="1" x="4149"/>
        <item m="1" x="1631"/>
        <item m="1" x="1284"/>
        <item m="1" x="3032"/>
        <item m="1" x="2079"/>
        <item m="1" x="4882"/>
        <item m="1" x="3022"/>
        <item m="1" x="3276"/>
        <item m="1" x="3693"/>
        <item m="1" x="5274"/>
        <item m="1" x="590"/>
        <item m="1" x="4997"/>
        <item m="1" x="5386"/>
        <item m="1" x="3678"/>
        <item m="1" x="5462"/>
        <item m="1" x="1165"/>
        <item m="1" x="4840"/>
        <item m="1" x="3154"/>
        <item m="1" x="6093"/>
        <item m="1" x="6034"/>
        <item m="1" x="1201"/>
        <item m="1" x="4724"/>
        <item m="1" x="2205"/>
        <item m="1" x="5757"/>
        <item m="1" x="5086"/>
        <item m="1" x="4489"/>
        <item m="1" x="2857"/>
        <item m="1" x="1179"/>
        <item m="1" x="2050"/>
        <item m="1" x="4180"/>
        <item m="1" x="4895"/>
        <item m="1" x="5399"/>
        <item m="1" x="5565"/>
        <item m="1" x="150"/>
        <item m="1" x="6115"/>
        <item m="1" x="4733"/>
        <item m="1" x="4614"/>
        <item m="1" x="2434"/>
        <item m="1" x="4356"/>
        <item m="1" x="6122"/>
        <item m="1" x="1966"/>
        <item m="1" x="6185"/>
        <item m="1" x="4024"/>
        <item m="1" x="2796"/>
        <item m="1" x="4755"/>
        <item x="80"/>
        <item m="1" x="2385"/>
        <item x="94"/>
        <item m="1" x="3690"/>
        <item m="1" x="419"/>
        <item m="1" x="4230"/>
        <item m="1" x="4470"/>
        <item m="1" x="5334"/>
        <item m="1" x="5281"/>
        <item m="1" x="820"/>
        <item m="1" x="1555"/>
        <item m="1" x="4151"/>
        <item m="1" x="6232"/>
        <item m="1" x="389"/>
        <item m="1" x="4632"/>
        <item m="1" x="5649"/>
        <item m="1" x="2736"/>
        <item m="1" x="3808"/>
        <item m="1" x="3988"/>
        <item m="1" x="2684"/>
        <item m="1" x="840"/>
        <item m="1" x="361"/>
        <item m="1" x="4339"/>
        <item m="1" x="3042"/>
        <item m="1" x="165"/>
        <item m="1" x="5970"/>
        <item m="1" x="3714"/>
        <item m="1" x="2930"/>
        <item m="1" x="3342"/>
        <item m="1" x="2482"/>
        <item m="1" x="2246"/>
        <item m="1" x="2757"/>
        <item m="1" x="6024"/>
        <item m="1" x="6195"/>
        <item m="1" x="3895"/>
        <item m="1" x="605"/>
        <item m="1" x="2810"/>
        <item m="1" x="4504"/>
        <item m="1" x="557"/>
        <item m="1" x="5710"/>
        <item m="1" x="3509"/>
        <item m="1" x="1482"/>
        <item m="1" x="2657"/>
        <item m="1" x="3035"/>
        <item m="1" x="4193"/>
        <item m="1" x="5930"/>
        <item m="1" x="770"/>
        <item m="1" x="4331"/>
        <item m="1" x="436"/>
        <item m="1" x="1190"/>
        <item m="1" x="6163"/>
        <item m="1" x="2614"/>
        <item m="1" x="1766"/>
        <item m="1" x="3239"/>
        <item m="1" x="4034"/>
        <item m="1" x="225"/>
        <item m="1" x="3796"/>
        <item m="1" x="5982"/>
        <item m="1" x="4783"/>
        <item m="1" x="4117"/>
        <item m="1" x="4656"/>
        <item m="1" x="2940"/>
        <item m="1" x="1784"/>
        <item m="1" x="5628"/>
        <item m="1" x="834"/>
        <item m="1" x="3179"/>
        <item m="1" x="684"/>
        <item m="1" x="5379"/>
        <item m="1" x="2299"/>
        <item m="1" x="3017"/>
        <item m="1" x="5495"/>
        <item m="1" x="1867"/>
        <item m="1" x="297"/>
        <item m="1" x="617"/>
        <item m="1" x="6126"/>
        <item m="1" x="670"/>
        <item m="1" x="4957"/>
        <item m="1" x="6134"/>
        <item m="1" x="6187"/>
        <item m="1" x="3563"/>
        <item m="1" x="4285"/>
        <item m="1" x="3166"/>
        <item m="1" x="5505"/>
        <item m="1" x="4581"/>
        <item m="1" x="3397"/>
        <item m="1" x="2252"/>
        <item m="1" x="3800"/>
        <item m="1" x="6097"/>
        <item m="1" x="1065"/>
        <item m="1" x="2649"/>
        <item m="1" x="5582"/>
        <item m="1" x="6130"/>
        <item m="1" x="1433"/>
        <item m="1" x="2256"/>
        <item m="1" x="2962"/>
        <item m="1" x="1975"/>
        <item m="1" x="2007"/>
        <item m="1" x="1476"/>
        <item m="1" x="2984"/>
        <item m="1" x="5934"/>
        <item m="1" x="4558"/>
        <item m="1" x="438"/>
        <item m="1" x="5440"/>
        <item m="1" x="3066"/>
        <item m="1" x="1213"/>
        <item m="1" x="4304"/>
        <item m="1" x="1542"/>
        <item m="1" x="2309"/>
        <item m="1" x="5550"/>
        <item m="1" x="1839"/>
        <item m="1" x="5097"/>
        <item m="1" x="4968"/>
        <item m="1" x="1236"/>
        <item m="1" x="5114"/>
        <item m="1" x="989"/>
        <item m="1" x="2645"/>
        <item m="1" x="5531"/>
        <item m="1" x="5564"/>
        <item m="1" x="4485"/>
        <item m="1" x="5225"/>
        <item m="1" x="5702"/>
        <item m="1" x="5880"/>
        <item m="1" x="2543"/>
        <item m="1" x="3873"/>
        <item m="1" x="2078"/>
        <item m="1" x="3069"/>
        <item m="1" x="4166"/>
        <item m="1" x="2963"/>
        <item m="1" x="1665"/>
        <item m="1" x="2436"/>
        <item m="1" x="1413"/>
        <item m="1" x="313"/>
        <item m="1" x="2826"/>
        <item m="1" x="1868"/>
        <item m="1" x="1365"/>
        <item m="1" x="4658"/>
        <item m="1" x="596"/>
        <item m="1" x="1116"/>
        <item m="1" x="293"/>
        <item m="1" x="2216"/>
        <item m="1" x="3151"/>
        <item m="1" x="5115"/>
        <item m="1" x="2085"/>
        <item m="1" x="1045"/>
        <item m="1" x="4113"/>
        <item m="1" x="1940"/>
        <item m="1" x="1117"/>
        <item m="1" x="3682"/>
        <item m="1" x="5419"/>
        <item m="1" x="5255"/>
        <item m="1" x="4019"/>
        <item m="1" x="2891"/>
        <item m="1" x="6227"/>
        <item m="1" x="6019"/>
        <item m="1" x="4602"/>
        <item m="1" x="5751"/>
        <item m="1" x="4642"/>
        <item m="1" x="3095"/>
        <item m="1" x="1493"/>
        <item m="1" x="6224"/>
        <item m="1" x="538"/>
        <item m="1" x="3950"/>
        <item m="1" x="3502"/>
        <item m="1" x="5069"/>
        <item m="1" x="5049"/>
        <item m="1" x="5775"/>
        <item m="1" x="2668"/>
        <item m="1" x="4091"/>
        <item m="1" x="1288"/>
        <item m="1" x="2944"/>
        <item m="1" x="1059"/>
        <item m="1" x="530"/>
        <item m="1" x="5630"/>
        <item m="1" x="1414"/>
        <item m="1" x="3126"/>
        <item m="1" x="3786"/>
        <item m="1" x="1925"/>
        <item m="1" x="1357"/>
        <item m="1" x="5817"/>
        <item m="1" x="5253"/>
        <item m="1" x="1879"/>
        <item m="1" x="488"/>
        <item m="1" x="3387"/>
        <item m="1" x="2044"/>
        <item m="1" x="3273"/>
        <item m="1" x="3144"/>
        <item m="1" x="3474"/>
        <item m="1" x="4681"/>
        <item m="1" x="1609"/>
        <item m="1" x="3198"/>
        <item m="1" x="3676"/>
        <item m="1" x="5983"/>
        <item m="1" x="5555"/>
        <item m="1" x="961"/>
        <item m="1" x="4155"/>
        <item m="1" x="4705"/>
        <item m="1" x="4015"/>
        <item m="1" x="5614"/>
        <item m="1" x="950"/>
        <item m="1" x="5957"/>
        <item m="1" x="2477"/>
        <item x="72"/>
        <item m="1" x="5772"/>
        <item m="1" x="458"/>
        <item m="1" x="3762"/>
        <item m="1" x="251"/>
        <item m="1" x="5866"/>
        <item m="1" x="1173"/>
        <item m="1" x="1537"/>
        <item m="1" x="5130"/>
        <item m="1" x="2926"/>
        <item m="1" x="497"/>
        <item m="1" x="1606"/>
        <item m="1" x="6105"/>
        <item m="1" x="2463"/>
        <item m="1" x="5374"/>
        <item m="1" x="1919"/>
        <item m="1" x="1429"/>
        <item m="1" x="4709"/>
        <item m="1" x="1856"/>
        <item m="1" x="1486"/>
        <item m="1" x="4827"/>
        <item m="1" x="4630"/>
        <item m="1" x="2365"/>
        <item m="1" x="5903"/>
        <item m="1" x="2060"/>
        <item m="1" x="722"/>
        <item m="1" x="5741"/>
        <item m="1" x="4966"/>
        <item m="1" x="6127"/>
        <item m="1" x="1461"/>
        <item m="1" x="2763"/>
        <item m="1" x="3382"/>
        <item m="1" x="1597"/>
        <item m="1" x="2955"/>
        <item m="1" x="653"/>
        <item m="1" x="6003"/>
        <item m="1" x="613"/>
        <item m="1" x="5782"/>
        <item m="1" x="4599"/>
        <item m="1" x="110"/>
        <item m="1" x="5719"/>
        <item m="1" x="2866"/>
        <item m="1" x="2387"/>
        <item m="1" x="998"/>
        <item m="1" x="318"/>
        <item m="1" x="3904"/>
        <item m="1" x="5803"/>
        <item m="1" x="4249"/>
        <item m="1" x="6244"/>
        <item m="1" x="2969"/>
        <item m="1" x="4813"/>
        <item m="1" x="1214"/>
        <item m="1" x="1506"/>
        <item m="1" x="749"/>
        <item m="1" x="638"/>
        <item m="1" x="5341"/>
        <item m="1" x="3366"/>
        <item m="1" x="4262"/>
        <item m="1" x="2231"/>
        <item m="1" x="5336"/>
        <item m="1" x="3106"/>
        <item m="1" x="1136"/>
        <item m="1" x="910"/>
        <item m="1" x="5972"/>
        <item m="1" x="2116"/>
        <item m="1" x="1900"/>
        <item m="1" x="2579"/>
        <item m="1" x="812"/>
        <item m="1" x="3590"/>
        <item m="1" x="428"/>
        <item m="1" x="2124"/>
        <item m="1" x="3954"/>
        <item m="1" x="2839"/>
        <item m="1" x="4941"/>
        <item m="1" x="3989"/>
        <item m="1" x="1379"/>
        <item m="1" x="5680"/>
        <item m="1" x="4490"/>
        <item m="1" x="3933"/>
        <item m="1" x="359"/>
        <item m="1" x="4152"/>
        <item m="1" x="1595"/>
        <item m="1" x="3942"/>
        <item m="1" x="1389"/>
        <item m="1" x="3930"/>
        <item m="1" x="4636"/>
        <item m="1" x="932"/>
        <item m="1" x="3845"/>
        <item m="1" x="1742"/>
        <item m="1" x="4488"/>
        <item m="1" x="600"/>
        <item m="1" x="1054"/>
        <item m="1" x="4415"/>
        <item m="1" x="2422"/>
        <item m="1" x="3972"/>
        <item m="1" x="5895"/>
        <item m="1" x="4898"/>
        <item m="1" x="257"/>
        <item m="1" x="3105"/>
        <item m="1" x="2178"/>
        <item m="1" x="1080"/>
        <item m="1" x="3051"/>
        <item m="1" x="1047"/>
        <item m="1" x="2951"/>
        <item m="1" x="2591"/>
        <item m="1" x="4124"/>
        <item m="1" x="4814"/>
        <item m="1" x="5635"/>
        <item m="1" x="470"/>
        <item m="1" x="3865"/>
        <item m="1" x="386"/>
        <item m="1" x="3631"/>
        <item m="1" x="3102"/>
        <item m="1" x="2016"/>
        <item m="1" x="4310"/>
        <item m="1" x="3609"/>
        <item m="1" x="2377"/>
        <item m="1" x="3070"/>
        <item m="1" x="4870"/>
        <item m="1" x="4387"/>
        <item m="1" x="479"/>
        <item m="1" x="3025"/>
        <item m="1" x="6223"/>
        <item m="1" x="2550"/>
        <item m="1" x="3137"/>
        <item m="1" x="1410"/>
        <item m="1" x="3408"/>
        <item m="1" x="3470"/>
        <item m="1" x="1388"/>
        <item m="1" x="2911"/>
        <item m="1" x="2180"/>
        <item m="1" x="2392"/>
        <item m="1" x="1272"/>
        <item m="1" x="5012"/>
        <item m="1" x="3901"/>
        <item m="1" x="5096"/>
        <item m="1" x="3013"/>
        <item m="1" x="4659"/>
        <item m="1" x="6139"/>
        <item m="1" x="5684"/>
        <item m="1" x="3018"/>
        <item m="1" x="1445"/>
        <item m="1" x="3029"/>
        <item m="1" x="1203"/>
        <item m="1" x="3517"/>
        <item m="1" x="2981"/>
        <item m="1" x="3685"/>
        <item m="1" x="5109"/>
        <item m="1" x="5608"/>
        <item m="1" x="3352"/>
        <item m="1" x="2223"/>
        <item m="1" x="6207"/>
        <item m="1" x="4232"/>
        <item m="1" x="6085"/>
        <item m="1" x="2298"/>
        <item m="1" x="5675"/>
        <item m="1" x="4660"/>
        <item m="1" x="1848"/>
        <item m="1" x="440"/>
        <item m="1" x="3542"/>
        <item m="1" x="357"/>
        <item m="1" x="4375"/>
        <item m="1" x="162"/>
        <item m="1" x="560"/>
        <item m="1" x="2622"/>
        <item m="1" x="1458"/>
        <item m="1" x="1504"/>
        <item m="1" x="3764"/>
        <item m="1" x="3082"/>
        <item m="1" x="6094"/>
        <item m="1" x="1986"/>
        <item m="1" x="423"/>
        <item m="1" x="5853"/>
        <item x="73"/>
        <item m="1" x="2908"/>
        <item m="1" x="5695"/>
        <item m="1" x="1330"/>
        <item m="1" x="2705"/>
        <item m="1" x="2147"/>
        <item m="1" x="4674"/>
        <item m="1" x="5988"/>
        <item m="1" x="1466"/>
        <item m="1" x="4343"/>
        <item m="1" x="1363"/>
        <item m="1" x="679"/>
        <item m="1" x="4859"/>
        <item m="1" x="4806"/>
        <item m="1" x="875"/>
        <item m="1" x="5877"/>
        <item m="1" x="691"/>
        <item m="1" x="1321"/>
        <item m="1" x="5599"/>
        <item m="1" x="2973"/>
        <item m="1" x="3373"/>
        <item m="1" x="3733"/>
        <item m="1" x="2818"/>
        <item m="1" x="5788"/>
        <item m="1" x="2777"/>
        <item m="1" x="2373"/>
        <item m="1" x="3487"/>
        <item m="1" x="4960"/>
        <item m="1" x="3145"/>
        <item m="1" x="2688"/>
        <item m="1" x="1588"/>
        <item m="1" x="2249"/>
        <item m="1" x="4584"/>
        <item m="1" x="6233"/>
        <item m="1" x="4792"/>
        <item m="1" x="499"/>
        <item m="1" x="3946"/>
        <item m="1" x="780"/>
        <item m="1" x="5668"/>
        <item m="1" x="4562"/>
        <item m="1" x="1726"/>
        <item m="1" x="4072"/>
        <item m="1" x="1998"/>
        <item m="1" x="2793"/>
        <item m="1" x="4079"/>
        <item m="1" x="5257"/>
        <item m="1" x="5200"/>
        <item m="1" x="1181"/>
        <item m="1" x="3830"/>
        <item m="1" x="4475"/>
        <item m="1" x="2480"/>
        <item m="1" x="3835"/>
        <item m="1" x="2395"/>
        <item m="1" x="2105"/>
        <item m="1" x="5672"/>
        <item m="1" x="3833"/>
        <item m="1" x="3317"/>
        <item m="1" x="704"/>
        <item m="1" x="4247"/>
        <item m="1" x="1183"/>
        <item m="1" x="839"/>
        <item m="1" x="5367"/>
        <item m="1" x="3434"/>
        <item m="1" x="925"/>
        <item m="1" x="2091"/>
        <item m="1" x="5121"/>
        <item m="1" x="4251"/>
        <item m="1" x="894"/>
        <item m="1" x="5705"/>
        <item m="1" x="3967"/>
        <item m="1" x="4903"/>
        <item m="1" x="5242"/>
        <item m="1" x="4703"/>
        <item m="1" x="1064"/>
        <item m="1" x="2704"/>
        <item m="1" x="1930"/>
        <item m="1" x="5453"/>
        <item m="1" x="2386"/>
        <item m="1" x="1752"/>
        <item m="1" x="5736"/>
        <item m="1" x="4801"/>
        <item m="1" x="2423"/>
        <item m="1" x="3395"/>
        <item m="1" x="622"/>
        <item m="1" x="1314"/>
        <item m="1" x="433"/>
        <item m="1" x="1679"/>
        <item m="1" x="5234"/>
        <item m="1" x="3211"/>
        <item m="1" x="5346"/>
        <item m="1" x="2700"/>
        <item m="1" x="3903"/>
        <item m="1" x="581"/>
        <item m="1" x="3409"/>
        <item m="1" x="2153"/>
        <item m="1" x="1113"/>
        <item m="1" x="1805"/>
        <item m="1" x="1749"/>
        <item m="1" x="3079"/>
        <item m="1" x="468"/>
        <item m="1" x="5731"/>
        <item m="1" x="3439"/>
        <item m="1" x="4588"/>
        <item m="1" x="2038"/>
        <item m="1" x="3515"/>
        <item m="1" x="3969"/>
        <item m="1" x="298"/>
        <item m="1" x="2229"/>
        <item m="1" x="2399"/>
        <item m="1" x="5646"/>
        <item m="1" x="4246"/>
        <item m="1" x="2398"/>
        <item m="1" x="2875"/>
        <item m="1" x="2776"/>
        <item m="1" x="779"/>
        <item m="1" x="5587"/>
        <item m="1" x="1790"/>
        <item m="1" x="3411"/>
        <item m="1" x="5912"/>
        <item m="1" x="3819"/>
        <item m="1" x="5541"/>
        <item m="1" x="3746"/>
        <item m="1" x="2376"/>
        <item m="1" x="2073"/>
        <item m="1" x="2228"/>
        <item m="1" x="2578"/>
        <item m="1" x="124"/>
        <item m="1" x="2654"/>
        <item m="1" x="5921"/>
        <item m="1" x="3131"/>
        <item m="1" x="5881"/>
        <item m="1" x="659"/>
        <item m="1" x="3743"/>
        <item m="1" x="3704"/>
        <item m="1" x="4350"/>
        <item m="1" x="534"/>
        <item m="1" x="1249"/>
        <item m="1" x="1369"/>
        <item m="1" x="3689"/>
        <item m="1" x="133"/>
        <item m="1" x="2991"/>
        <item m="1" x="1672"/>
        <item m="1" x="3034"/>
        <item m="1" x="4203"/>
        <item m="1" x="5640"/>
        <item m="1" x="4601"/>
        <item m="1" x="1239"/>
        <item m="1" x="2343"/>
        <item m="1" x="4726"/>
        <item m="1" x="3116"/>
        <item m="1" x="3362"/>
        <item m="1" x="5730"/>
        <item m="1" x="4137"/>
        <item m="1" x="1633"/>
        <item m="1" x="1437"/>
        <item m="1" x="1729"/>
        <item m="1" x="2052"/>
        <item m="1" x="5863"/>
        <item m="1" x="5962"/>
        <item m="1" x="2769"/>
        <item m="1" x="5659"/>
        <item m="1" x="5791"/>
        <item m="1" x="5834"/>
        <item m="1" x="2507"/>
        <item m="1" x="1955"/>
        <item m="1" x="1887"/>
        <item m="1" x="1367"/>
        <item m="1" x="3268"/>
        <item m="1" x="5515"/>
        <item m="1" x="4723"/>
        <item m="1" x="4949"/>
        <item m="1" x="843"/>
        <item m="1" x="563"/>
        <item m="1" x="5589"/>
        <item m="1" x="233"/>
        <item m="1" x="1444"/>
        <item m="1" x="4552"/>
        <item m="1" x="2613"/>
        <item m="1" x="2369"/>
        <item m="1" x="956"/>
        <item m="1" x="270"/>
        <item m="1" x="1273"/>
        <item m="1" x="889"/>
        <item m="1" x="589"/>
        <item m="1" x="2560"/>
        <item m="1" x="4990"/>
        <item m="1" x="1824"/>
        <item m="1" x="190"/>
        <item m="1" x="1712"/>
        <item m="1" x="1505"/>
        <item m="1" x="2957"/>
        <item m="1" x="4831"/>
        <item m="1" x="1587"/>
        <item m="1" x="2354"/>
        <item m="1" x="1014"/>
        <item m="1" x="4579"/>
        <item m="1" x="3984"/>
        <item m="1" x="2332"/>
        <item m="1" x="1240"/>
        <item m="1" x="3230"/>
        <item m="1" x="2786"/>
        <item m="1" x="2720"/>
        <item m="1" x="1094"/>
        <item m="1" x="1932"/>
        <item m="1" x="4929"/>
        <item m="1" x="1100"/>
        <item m="1" x="1993"/>
        <item m="1" x="5976"/>
        <item m="1" x="417"/>
        <item m="1" x="511"/>
        <item m="1" x="173"/>
        <item m="1" x="371"/>
        <item m="1" x="1946"/>
        <item m="1" x="2070"/>
        <item m="1" x="3023"/>
        <item m="1" x="1220"/>
        <item m="1" x="1581"/>
        <item m="1" x="5425"/>
        <item m="1" x="2402"/>
        <item m="1" x="5769"/>
        <item m="1" x="2045"/>
        <item m="1" x="2595"/>
        <item m="1" x="5011"/>
        <item m="1" x="216"/>
        <item m="1" x="5557"/>
        <item m="1" x="4942"/>
        <item m="1" x="4928"/>
        <item m="1" x="2234"/>
        <item m="1" x="2393"/>
        <item m="1" x="4103"/>
        <item m="1" x="891"/>
        <item m="1" x="999"/>
        <item m="1" x="5581"/>
        <item m="1" x="4914"/>
        <item m="1" x="572"/>
        <item m="1" x="4144"/>
        <item m="1" x="1862"/>
        <item m="1" x="5572"/>
        <item m="1" x="6106"/>
        <item m="1" x="2828"/>
        <item m="1" x="5337"/>
        <item m="1" x="2160"/>
        <item m="1" x="2488"/>
        <item m="1" x="1701"/>
        <item m="1" x="1286"/>
        <item m="1" x="3686"/>
        <item m="1" x="3697"/>
        <item m="1" x="3964"/>
        <item m="1" x="3143"/>
        <item m="1" x="4695"/>
        <item m="1" x="4190"/>
        <item m="1" x="1503"/>
        <item m="1" x="6217"/>
        <item m="1" x="1090"/>
        <item m="1" x="5926"/>
        <item m="1" x="694"/>
        <item m="1" x="3195"/>
        <item m="1" x="1509"/>
        <item m="1" x="5418"/>
        <item m="1" x="5199"/>
        <item m="1" x="926"/>
        <item m="1" x="3748"/>
        <item m="1" x="4178"/>
        <item m="1" x="6203"/>
        <item m="1" x="198"/>
        <item m="1" x="4676"/>
        <item m="1" x="4586"/>
        <item m="1" x="6247"/>
        <item m="1" x="1534"/>
        <item m="1" x="6209"/>
        <item m="1" x="4878"/>
        <item m="1" x="2362"/>
        <item m="1" x="3552"/>
        <item m="1" x="1057"/>
        <item m="1" x="1423"/>
        <item m="1" x="1104"/>
        <item m="1" x="5718"/>
        <item m="1" x="5692"/>
        <item m="1" x="3757"/>
        <item m="1" x="3872"/>
        <item m="1" x="6124"/>
        <item m="1" x="703"/>
        <item m="1" x="3729"/>
        <item m="1" x="2374"/>
        <item m="1" x="5905"/>
        <item m="1" x="1192"/>
        <item m="1" x="5878"/>
        <item m="1" x="5995"/>
        <item m="1" x="1219"/>
        <item m="1" x="1575"/>
        <item m="1" x="1440"/>
        <item m="1" x="152"/>
        <item m="1" x="3475"/>
        <item m="1" x="5852"/>
        <item m="1" x="4500"/>
        <item m="1" x="4123"/>
        <item m="1" x="2662"/>
        <item m="1" x="5088"/>
        <item m="1" x="1974"/>
        <item m="1" x="6100"/>
        <item m="1" x="3957"/>
        <item m="1" x="3463"/>
        <item m="1" x="5030"/>
        <item m="1" x="5237"/>
        <item m="1" x="811"/>
        <item m="1" x="4267"/>
        <item m="1" x="3294"/>
        <item m="1" x="431"/>
        <item m="1" x="3966"/>
        <item m="1" x="399"/>
        <item m="1" x="4191"/>
        <item m="1" x="941"/>
        <item m="1" x="4043"/>
        <item m="1" x="5420"/>
        <item m="1" x="3328"/>
        <item m="1" x="2334"/>
        <item m="1" x="2884"/>
        <item m="1" x="707"/>
        <item m="1" x="5091"/>
        <item m="1" x="2596"/>
        <item m="1" x="5940"/>
        <item m="1" x="2063"/>
        <item m="1" x="4487"/>
        <item m="1" x="2756"/>
        <item m="1" x="5299"/>
        <item m="1" x="5965"/>
        <item m="1" x="6235"/>
        <item m="1" x="1651"/>
        <item m="1" x="5230"/>
        <item m="1" x="3327"/>
        <item m="1" x="3498"/>
        <item m="1" x="3643"/>
        <item m="1" x="1209"/>
        <item m="1" x="4800"/>
        <item m="1" x="3908"/>
        <item m="1" x="940"/>
        <item m="1" x="5201"/>
        <item m="1" x="5302"/>
        <item m="1" x="2869"/>
        <item m="1" x="3641"/>
        <item m="1" x="289"/>
        <item m="1" x="3555"/>
        <item m="1" x="3214"/>
        <item m="1" x="1908"/>
        <item m="1" x="5974"/>
        <item m="1" x="702"/>
        <item m="1" x="5537"/>
        <item m="1" x="2676"/>
        <item m="1" x="4101"/>
        <item m="1" x="4517"/>
        <item m="1" x="1566"/>
        <item m="1" x="1854"/>
        <item m="1" x="142"/>
        <item m="1" x="1309"/>
        <item m="1" x="4243"/>
        <item m="1" x="4100"/>
        <item m="1" x="5660"/>
        <item m="1" x="402"/>
        <item m="1" x="4802"/>
        <item m="1" x="3223"/>
        <item m="1" x="1828"/>
        <item m="1" x="4030"/>
        <item m="1" x="1602"/>
        <item m="1" x="5887"/>
        <item m="1" x="1917"/>
        <item m="1" x="995"/>
        <item m="1" x="2646"/>
        <item m="1" x="2888"/>
        <item m="1" x="3705"/>
        <item m="1" x="3831"/>
        <item m="1" x="2920"/>
        <item m="1" x="4529"/>
        <item m="1" x="5901"/>
        <item m="1" x="3623"/>
        <item m="1" x="769"/>
        <item m="1" x="3280"/>
        <item m="1" x="4345"/>
        <item m="1" x="3235"/>
        <item m="1" x="5828"/>
        <item m="1" x="5931"/>
        <item m="1" x="2544"/>
        <item m="1" x="4486"/>
        <item m="1" x="1299"/>
        <item m="1" x="4448"/>
        <item m="1" x="112"/>
        <item m="1" x="1615"/>
        <item m="1" x="5560"/>
        <item m="1" x="4229"/>
        <item m="1" x="675"/>
        <item m="1" x="5920"/>
        <item m="1" x="1396"/>
        <item m="1" x="2539"/>
        <item m="1" x="1313"/>
        <item m="1" x="378"/>
        <item m="1" x="729"/>
        <item m="1" x="1167"/>
        <item m="1" x="4591"/>
        <item m="1" x="4023"/>
        <item m="1" x="5579"/>
        <item m="1" x="5898"/>
        <item m="1" x="5467"/>
        <item m="1" x="2408"/>
        <item m="1" x="4593"/>
        <item m="1" x="1718"/>
        <item m="1" x="5174"/>
        <item m="1" x="908"/>
        <item m="1" x="2400"/>
        <item m="1" x="992"/>
        <item m="1" x="4080"/>
        <item m="1" x="2445"/>
        <item m="1" x="2672"/>
        <item m="1" x="588"/>
        <item m="1" x="3892"/>
        <item m="1" x="2263"/>
        <item m="1" x="4425"/>
        <item m="1" x="4576"/>
        <item m="1" x="4393"/>
        <item m="1" x="6206"/>
        <item m="1" x="482"/>
        <item m="1" x="3124"/>
        <item m="1" x="947"/>
        <item m="1" x="2715"/>
        <item m="1" x="6133"/>
        <item m="1" x="570"/>
        <item m="1" x="5938"/>
        <item m="1" x="767"/>
        <item m="1" x="4819"/>
        <item m="1" x="3893"/>
        <item m="1" x="1941"/>
        <item m="1" x="1495"/>
        <item m="1" x="2898"/>
        <item m="1" x="4919"/>
        <item m="1" x="2795"/>
        <item m="1" x="5285"/>
        <item m="1" x="710"/>
        <item m="1" x="255"/>
        <item m="1" x="1596"/>
        <item m="1" x="6001"/>
        <item m="1" x="4269"/>
        <item m="1" x="4071"/>
        <item m="1" x="2865"/>
        <item m="1" x="2665"/>
        <item m="1" x="5277"/>
        <item m="1" x="3010"/>
        <item m="1" x="5891"/>
        <item m="1" x="5971"/>
        <item m="1" x="1634"/>
        <item m="1" x="3379"/>
        <item m="1" x="283"/>
        <item m="1" x="5006"/>
        <item m="1" x="3980"/>
        <item m="1" x="3539"/>
        <item m="1" x="6091"/>
        <item m="1" x="3306"/>
        <item m="1" x="5172"/>
        <item m="1" x="5998"/>
        <item m="1" x="4083"/>
        <item m="1" x="4617"/>
        <item m="1" x="1647"/>
        <item m="1" x="3851"/>
        <item m="1" x="1428"/>
        <item x="81"/>
        <item m="1" x="4494"/>
        <item m="1" x="6254"/>
        <item m="1" x="2636"/>
        <item m="1" x="5209"/>
        <item m="1" x="5095"/>
        <item m="1" x="5592"/>
        <item m="1" x="2264"/>
        <item m="1" x="3483"/>
        <item m="1" x="829"/>
        <item m="1" x="4567"/>
        <item m="1" x="2514"/>
        <item m="1" x="2635"/>
        <item m="1" x="668"/>
        <item m="1" x="3519"/>
        <item m="1" x="5338"/>
        <item m="1" x="153"/>
        <item m="1" x="2927"/>
        <item m="1" x="4551"/>
        <item m="1" x="4160"/>
        <item m="1" x="1468"/>
        <item m="1" x="2190"/>
        <item m="1" x="6155"/>
        <item m="1" x="716"/>
        <item m="1" x="2770"/>
        <item m="1" x="273"/>
        <item m="1" x="4295"/>
        <item m="1" x="1132"/>
        <item m="1" x="5509"/>
        <item m="1" x="4085"/>
        <item m="1" x="5455"/>
        <item m="1" x="1055"/>
        <item m="1" x="2904"/>
        <item m="1" x="2899"/>
        <item m="1" x="3412"/>
        <item m="1" x="4248"/>
        <item m="1" x="6220"/>
        <item m="1" x="447"/>
        <item m="1" x="3388"/>
        <item m="1" x="5137"/>
        <item m="1" x="3844"/>
        <item m="1" x="1934"/>
        <item m="1" x="5377"/>
        <item m="1" x="5829"/>
        <item m="1" x="2949"/>
        <item m="1" x="5213"/>
        <item m="1" x="185"/>
        <item m="1" x="3374"/>
        <item m="1" x="4381"/>
        <item m="1" x="1565"/>
        <item m="1" x="6226"/>
        <item m="1" x="4237"/>
        <item m="1" x="1042"/>
        <item m="1" x="701"/>
        <item m="1" x="3752"/>
        <item m="1" x="3785"/>
        <item m="1" x="332"/>
        <item m="1" x="609"/>
        <item m="1" x="987"/>
        <item m="1" x="2735"/>
        <item m="1" x="1465"/>
        <item m="1" x="1586"/>
        <item m="1" x="3400"/>
        <item m="1" x="1385"/>
        <item m="1" x="4771"/>
        <item m="1" x="3289"/>
        <item m="1" x="3238"/>
        <item m="1" x="3827"/>
        <item m="1" x="1422"/>
        <item m="1" x="1326"/>
        <item m="1" x="4833"/>
        <item m="1" x="3081"/>
        <item m="1" x="5304"/>
        <item m="1" x="2841"/>
        <item m="1" x="2915"/>
        <item m="1" x="253"/>
        <item m="1" x="159"/>
        <item m="1" x="2359"/>
        <item m="1" x="4764"/>
        <item x="59"/>
        <item m="1" x="3963"/>
        <item m="1" x="316"/>
        <item m="1" x="1274"/>
        <item m="1" x="3965"/>
        <item m="1" x="1936"/>
        <item m="1" x="3661"/>
        <item m="1" x="5501"/>
        <item m="1" x="5954"/>
        <item m="1" x="2588"/>
        <item m="1" x="2731"/>
        <item m="1" x="2966"/>
        <item m="1" x="3912"/>
        <item m="1" x="1965"/>
        <item m="1" x="3110"/>
        <item m="1" x="1608"/>
        <item m="1" x="4122"/>
        <item m="1" x="3856"/>
        <item m="1" x="2561"/>
        <item m="1" x="5394"/>
        <item m="1" x="6216"/>
        <item m="1" x="2490"/>
        <item m="1" x="3061"/>
        <item m="1" x="5749"/>
        <item m="1" x="5641"/>
        <item m="1" x="5923"/>
        <item m="1" x="2351"/>
        <item m="1" x="4136"/>
        <item m="1" x="3657"/>
        <item m="1" x="4257"/>
        <item m="1" x="2239"/>
        <item m="1" x="467"/>
        <item m="1" x="3638"/>
        <item m="1" x="4625"/>
        <item m="1" x="3376"/>
        <item m="1" x="4106"/>
        <item m="1" x="1693"/>
        <item m="1" x="4031"/>
        <item m="1" x="1146"/>
        <item m="1" x="3820"/>
        <item m="1" x="738"/>
        <item m="1" x="2417"/>
        <item m="1" x="1076"/>
        <item m="1" x="785"/>
        <item m="1" x="3588"/>
        <item m="1" x="2685"/>
        <item m="1" x="1793"/>
        <item m="1" x="4774"/>
        <item m="1" x="3443"/>
        <item m="1" x="1981"/>
        <item m="1" x="5110"/>
        <item m="1" x="5713"/>
        <item m="1" x="3293"/>
        <item m="1" x="639"/>
        <item m="1" x="4354"/>
        <item m="1" x="207"/>
        <item m="1" x="4403"/>
        <item m="1" x="3890"/>
        <item m="1" x="3132"/>
        <item m="1" x="5320"/>
        <item m="1" x="5588"/>
        <item m="1" x="1929"/>
        <item m="1" x="2778"/>
        <item m="1" x="2288"/>
        <item m="1" x="1517"/>
        <item m="1" x="4649"/>
        <item m="1" x="4759"/>
        <item m="1" x="4466"/>
        <item m="1" x="193"/>
        <item m="1" x="1681"/>
        <item m="1" x="551"/>
        <item m="1" x="2873"/>
        <item m="1" x="2644"/>
        <item m="1" x="2088"/>
        <item m="1" x="1241"/>
        <item m="1" x="6114"/>
        <item m="1" x="1514"/>
        <item m="1" x="3423"/>
        <item m="1" x="3780"/>
        <item m="1" x="5787"/>
        <item m="1" x="705"/>
        <item m="1" x="4368"/>
        <item m="1" x="3826"/>
        <item m="1" x="2848"/>
        <item m="1" x="5203"/>
        <item m="1" x="4849"/>
        <item m="1" x="5801"/>
        <item m="1" x="178"/>
        <item m="1" x="1101"/>
        <item m="1" x="6017"/>
        <item m="1" x="5947"/>
        <item m="1" x="698"/>
        <item m="1" x="6020"/>
        <item m="1" x="2960"/>
        <item m="1" x="4367"/>
        <item m="1" x="5047"/>
        <item m="1" x="1670"/>
        <item m="1" x="6174"/>
        <item m="1" x="5652"/>
        <item m="1" x="1622"/>
        <item m="1" x="527"/>
        <item m="1" x="3717"/>
        <item m="1" x="4250"/>
        <item m="1" x="3341"/>
        <item m="1" x="382"/>
        <item m="1" x="3953"/>
        <item m="1" x="3152"/>
        <item m="1" x="5136"/>
        <item m="1" x="4943"/>
        <item m="1" x="2671"/>
        <item m="1" x="4021"/>
        <item m="1" x="5494"/>
        <item m="1" x="6066"/>
        <item m="1" x="2302"/>
        <item m="1" x="1807"/>
        <item m="1" x="2058"/>
        <item m="1" x="3853"/>
        <item m="1" x="4098"/>
        <item m="1" x="6007"/>
        <item m="1" x="1158"/>
        <item m="1" x="1139"/>
        <item m="1" x="4273"/>
        <item m="1" x="4521"/>
        <item m="1" x="951"/>
        <item m="1" x="221"/>
        <item m="1" x="2307"/>
        <item m="1" x="646"/>
        <item m="1" x="6063"/>
        <item m="1" x="4883"/>
        <item m="1" x="6038"/>
        <item m="1" x="6071"/>
        <item m="1" x="4499"/>
        <item m="1" x="1799"/>
        <item m="1" x="5206"/>
        <item m="1" x="2347"/>
        <item m="1" x="3935"/>
        <item m="1" x="5825"/>
        <item m="1" x="4196"/>
        <item m="1" x="1252"/>
        <item m="1" x="3806"/>
        <item m="1" x="2817"/>
        <item x="85"/>
        <item m="1" x="3836"/>
        <item m="1" x="2457"/>
        <item m="1" x="284"/>
        <item m="1" x="2281"/>
        <item m="1" x="5100"/>
        <item m="1" x="3218"/>
        <item m="1" x="5472"/>
        <item m="1" x="4891"/>
        <item m="1" x="3229"/>
        <item m="1" x="246"/>
        <item m="1" x="5820"/>
        <item m="1" x="5089"/>
        <item m="1" x="5811"/>
        <item m="1" x="6120"/>
        <item m="1" x="6052"/>
        <item m="1" x="4452"/>
        <item m="1" x="2157"/>
        <item m="1" x="5593"/>
        <item m="1" x="5990"/>
        <item m="1" x="1193"/>
        <item m="1" x="5282"/>
        <item m="1" x="5914"/>
        <item m="1" x="5232"/>
        <item m="1" x="4430"/>
        <item m="1" x="3914"/>
        <item m="1" x="870"/>
        <item m="1" x="339"/>
        <item m="1" x="4516"/>
        <item m="1" x="323"/>
        <item m="1" x="322"/>
        <item m="1" x="459"/>
        <item m="1" x="4256"/>
        <item m="1" x="3842"/>
        <item m="1" x="3646"/>
        <item m="1" x="4793"/>
        <item m="1" x="1954"/>
        <item m="1" x="231"/>
        <item m="1" x="5279"/>
        <item m="1" x="1046"/>
        <item m="1" x="4815"/>
        <item m="1" x="6190"/>
        <item m="1" x="1008"/>
        <item m="1" x="938"/>
        <item m="1" x="3807"/>
        <item m="1" x="2364"/>
        <item m="1" x="5119"/>
        <item m="1" x="6040"/>
        <item m="1" x="5356"/>
        <item m="1" x="3286"/>
        <item m="1" x="1098"/>
        <item x="64"/>
        <item m="1" x="3886"/>
        <item m="1" x="2682"/>
        <item m="1" x="2983"/>
        <item m="1" x="6178"/>
        <item m="1" x="2233"/>
        <item m="1" x="5033"/>
        <item m="1" x="1650"/>
        <item m="1" x="4312"/>
        <item m="1" x="3410"/>
        <item m="1" x="5152"/>
        <item m="1" x="1131"/>
        <item m="1" x="4693"/>
        <item m="1" x="2475"/>
        <item m="1" x="5634"/>
        <item m="1" x="4741"/>
        <item m="1" x="4164"/>
        <item m="1" x="3841"/>
        <item m="1" x="2324"/>
        <item m="1" x="5295"/>
        <item m="1" x="3899"/>
        <item m="1" x="2604"/>
        <item m="1" x="3968"/>
        <item m="1" x="2132"/>
        <item m="1" x="1553"/>
        <item m="1" x="4780"/>
        <item m="1" x="3363"/>
        <item m="1" x="5104"/>
        <item m="1" x="4288"/>
        <item m="1" x="2568"/>
        <item m="1" x="2675"/>
        <item m="1" x="2694"/>
        <item m="1" x="2149"/>
        <item m="1" x="2707"/>
        <item m="1" x="623"/>
        <item m="1" x="4325"/>
        <item m="1" x="673"/>
        <item m="1" x="1699"/>
        <item m="1" x="970"/>
        <item m="1" x="3642"/>
        <item m="1" x="5226"/>
        <item m="1" x="4252"/>
        <item m="1" x="4188"/>
        <item m="1" x="4417"/>
        <item m="1" x="2368"/>
        <item m="1" x="1846"/>
        <item m="1" x="1861"/>
        <item m="1" x="5709"/>
        <item m="1" x="2257"/>
        <item m="1" x="3038"/>
        <item m="1" x="6029"/>
        <item m="1" x="4852"/>
        <item m="1" x="5021"/>
        <item m="1" x="979"/>
        <item m="1" x="4492"/>
        <item m="1" x="5168"/>
        <item m="1" x="2782"/>
        <item m="1" x="5280"/>
        <item m="1" x="5514"/>
        <item m="1" x="3651"/>
        <item m="1" x="3219"/>
        <item m="1" x="6023"/>
        <item m="1" x="4989"/>
        <item m="1" x="847"/>
        <item m="1" x="2291"/>
        <item m="1" x="1806"/>
        <item m="1" x="5870"/>
        <item m="1" x="2465"/>
        <item m="1" x="4176"/>
        <item m="1" x="3871"/>
        <item m="1" x="1106"/>
        <item m="1" x="911"/>
        <item m="1" x="1318"/>
        <item m="1" x="6251"/>
        <item m="1" x="2487"/>
        <item m="1" x="2626"/>
        <item m="1" x="2075"/>
        <item m="1" x="4923"/>
        <item m="1" x="6002"/>
        <item m="1" x="2988"/>
        <item m="1" x="3960"/>
        <item m="1" x="1702"/>
        <item m="1" x="3604"/>
        <item m="1" x="1050"/>
        <item m="1" x="2958"/>
        <item m="1" x="2014"/>
        <item m="1" x="5342"/>
        <item m="1" x="5127"/>
        <item m="1" x="826"/>
        <item m="1" x="3168"/>
        <item m="1" x="3616"/>
        <item m="1" x="6166"/>
        <item m="1" x="5763"/>
        <item m="1" x="629"/>
        <item m="1" x="3490"/>
        <item m="1" x="3348"/>
        <item m="1" x="552"/>
        <item m="1" x="630"/>
        <item m="1" x="1448"/>
        <item m="1" x="3068"/>
        <item m="1" x="3279"/>
        <item m="1" x="2680"/>
        <item m="1" x="2117"/>
        <item m="1" x="633"/>
        <item m="1" x="4300"/>
        <item m="1" x="4303"/>
        <item m="1" x="1457"/>
        <item m="1" x="4991"/>
        <item m="1" x="4132"/>
        <item m="1" x="4364"/>
        <item m="1" x="4673"/>
        <item m="1" x="203"/>
        <item m="1" x="1617"/>
        <item m="1" x="2532"/>
        <item m="1" x="665"/>
        <item m="1" x="4222"/>
        <item m="1" x="4357"/>
        <item m="1" x="5669"/>
        <item m="1" x="4954"/>
        <item m="1" x="2768"/>
        <item m="1" x="3523"/>
        <item m="1" x="5431"/>
        <item m="1" x="5796"/>
        <item m="1" x="905"/>
        <item m="1" x="574"/>
        <item m="1" x="965"/>
        <item m="1" x="960"/>
        <item m="1" x="374"/>
        <item m="1" x="4447"/>
        <item m="1" x="4044"/>
        <item m="1" x="1381"/>
        <item m="1" x="4545"/>
        <item m="1" x="3852"/>
        <item m="1" x="3535"/>
        <item m="1" x="6145"/>
        <item m="1" x="5141"/>
        <item m="1" x="3161"/>
        <item m="1" x="752"/>
        <item m="1" x="6164"/>
        <item m="1" x="6215"/>
        <item m="1" x="4598"/>
        <item m="1" x="2019"/>
        <item m="1" x="2499"/>
        <item m="1" x="3622"/>
        <item m="1" x="3823"/>
        <item m="1" x="454"/>
        <item m="1" x="3536"/>
        <item m="1" x="2428"/>
        <item m="1" x="353"/>
        <item m="1" x="6189"/>
        <item m="1" x="5500"/>
        <item m="1" x="3923"/>
        <item m="1" x="1443"/>
        <item m="1" x="1676"/>
        <item m="1" x="4418"/>
        <item m="1" x="1028"/>
        <item m="1" x="5064"/>
        <item m="1" x="254"/>
        <item m="1" x="1015"/>
        <item m="1" x="948"/>
        <item m="1" x="3349"/>
        <item m="1" x="3157"/>
        <item m="1" x="4005"/>
        <item m="1" x="725"/>
        <item m="1" x="494"/>
        <item m="1" x="955"/>
        <item m="1" x="586"/>
        <item m="1" x="1578"/>
        <item m="1" x="542"/>
        <item m="1" x="902"/>
        <item m="1" x="194"/>
        <item m="1" x="1279"/>
        <item m="1" x="841"/>
        <item m="1" x="4090"/>
        <item m="1" x="4214"/>
        <item m="1" x="3991"/>
        <item m="1" x="1532"/>
        <item m="1" x="5393"/>
        <item m="1" x="4590"/>
        <item m="1" x="1155"/>
        <item m="1" x="5793"/>
        <item m="1" x="2725"/>
        <item m="1" x="5478"/>
        <item m="1" x="5029"/>
        <item m="1" x="1342"/>
        <item m="1" x="1207"/>
        <item m="1" x="5036"/>
        <item m="1" x="1115"/>
        <item m="1" x="2868"/>
        <item m="1" x="6043"/>
        <item m="1" x="1052"/>
        <item m="1" x="5423"/>
        <item m="1" x="6069"/>
        <item m="1" x="5740"/>
        <item m="1" x="3566"/>
        <item m="1" x="2522"/>
        <item m="1" x="510"/>
        <item m="1" x="3627"/>
        <item m="1" x="2919"/>
        <item m="1" x="2265"/>
        <item m="1" x="4053"/>
        <item m="1" x="4111"/>
        <item m="1" x="3669"/>
        <item m="1" x="2366"/>
        <item m="1" x="1815"/>
        <item m="1" x="4958"/>
        <item m="1" x="4402"/>
        <item m="1" x="3866"/>
        <item m="1" x="6036"/>
        <item m="1" x="5667"/>
        <item m="1" x="3148"/>
        <item m="1" x="2556"/>
        <item m="1" x="1026"/>
        <item m="1" x="4056"/>
        <item m="1" x="5287"/>
        <item m="1" x="516"/>
        <item m="1" x="4873"/>
        <item m="1" x="5065"/>
        <item m="1" x="5907"/>
        <item m="1" x="5861"/>
        <item m="1" x="232"/>
        <item m="1" x="3167"/>
        <item m="1" x="3457"/>
        <item m="1" x="315"/>
        <item m="1" x="3431"/>
        <item m="1" x="561"/>
        <item m="1" x="1256"/>
        <item m="1" x="2035"/>
        <item m="1" x="244"/>
        <item m="1" x="4826"/>
        <item m="1" x="5364"/>
        <item m="1" x="2258"/>
        <item m="1" x="1524"/>
        <item m="1" x="3857"/>
        <item m="1" x="5812"/>
        <item m="1" x="713"/>
        <item m="1" x="945"/>
        <item m="1" x="6013"/>
        <item m="1" x="4574"/>
        <item m="1" x="715"/>
        <item m="1" x="3617"/>
        <item m="1" x="4082"/>
        <item m="1" x="5309"/>
        <item m="1" x="1959"/>
        <item m="1" x="620"/>
        <item m="1" x="2728"/>
        <item m="1" x="4511"/>
        <item m="1" x="3501"/>
        <item m="1" x="3156"/>
        <item m="1" x="5677"/>
        <item m="1" x="2453"/>
        <item m="1" x="3997"/>
        <item m="1" x="906"/>
        <item m="1" x="650"/>
        <item m="1" x="2559"/>
        <item m="1" x="2036"/>
        <item m="1" x="1605"/>
        <item m="1" x="5031"/>
        <item m="1" x="1548"/>
        <item m="1" x="1740"/>
        <item m="1" x="4565"/>
        <item m="1" x="202"/>
        <item m="1" x="3053"/>
        <item m="1" x="3803"/>
        <item m="1" x="5457"/>
        <item m="1" x="4261"/>
        <item m="1" x="953"/>
        <item m="1" x="5256"/>
        <item m="1" x="1531"/>
        <item m="1" x="2563"/>
        <item m="1" x="2997"/>
        <item m="1" x="1356"/>
        <item m="1" x="5273"/>
        <item m="1" x="2146"/>
        <item m="1" x="4713"/>
        <item m="1" x="5935"/>
        <item m="1" x="2211"/>
        <item m="1" x="5224"/>
        <item m="1" x="5344"/>
        <item m="1" x="728"/>
        <item m="1" x="2029"/>
        <item m="1" x="1983"/>
        <item m="1" x="674"/>
        <item m="1" x="1987"/>
        <item m="1" x="625"/>
        <item m="1" x="3108"/>
        <item m="1" x="5432"/>
        <item m="1" x="6132"/>
        <item m="1" x="883"/>
        <item m="1" x="5024"/>
        <item m="1" x="4939"/>
        <item m="1" x="4824"/>
        <item m="1" x="188"/>
        <item m="1" x="5380"/>
        <item m="1" x="2784"/>
        <item m="1" x="3057"/>
        <item m="1" x="408"/>
        <item m="1" x="2862"/>
        <item m="1" x="2576"/>
        <item m="1" x="5563"/>
        <item m="1" x="2090"/>
        <item m="1" x="6221"/>
        <item m="1" x="2110"/>
        <item m="1" x="2409"/>
        <item m="1" x="237"/>
        <item m="1" x="4634"/>
        <item m="1" x="111"/>
        <item m="1" x="1882"/>
        <item m="1" x="2571"/>
        <item m="1" x="2415"/>
        <item m="1" x="4906"/>
        <item m="1" x="4866"/>
        <item m="1" x="6060"/>
        <item m="1" x="1058"/>
        <item m="1" x="1120"/>
        <item m="1" x="4915"/>
        <item m="1" x="3649"/>
        <item m="1" x="5194"/>
        <item m="1" x="818"/>
        <item m="1" x="3129"/>
        <item m="1" x="4691"/>
        <item m="1" x="1133"/>
        <item m="1" x="2210"/>
        <item m="1" x="1248"/>
        <item m="1" x="1743"/>
        <item m="1" x="3335"/>
        <item m="1" x="3365"/>
        <item m="1" x="4557"/>
        <item m="1" x="443"/>
        <item m="1" x="4993"/>
        <item m="1" x="2570"/>
        <item m="1" x="4463"/>
        <item m="1" x="1678"/>
        <item m="1" x="4395"/>
        <item m="1" x="4334"/>
        <item m="1" x="5051"/>
        <item m="1" x="4209"/>
        <item m="1" x="2824"/>
        <item m="1" x="3190"/>
        <item m="1" x="5734"/>
        <item m="1" x="5690"/>
        <item m="1" x="3194"/>
        <item m="1" x="4860"/>
        <item m="1" x="2641"/>
        <item m="1" x="435"/>
        <item m="1" x="2740"/>
        <item m="1" x="2982"/>
        <item m="1" x="5041"/>
        <item m="1" x="2744"/>
        <item m="1" x="3089"/>
        <item m="1" x="4460"/>
        <item m="1" x="2469"/>
        <item m="1" x="4061"/>
        <item m="1" x="964"/>
        <item m="1" x="3848"/>
        <item m="1" x="3049"/>
        <item m="1" x="4066"/>
        <item m="1" x="1912"/>
        <item m="1" x="5329"/>
        <item m="1" x="2990"/>
        <item m="1" x="2745"/>
        <item m="1" x="3710"/>
        <item m="1" x="2607"/>
        <item m="1" x="3139"/>
        <item m="1" x="2272"/>
        <item m="1" x="314"/>
        <item m="1" x="4421"/>
        <item m="1" x="903"/>
        <item m="1" x="587"/>
        <item m="1" x="927"/>
        <item m="1" x="4096"/>
        <item m="1" x="3170"/>
        <item m="1" x="2355"/>
        <item m="1" x="6015"/>
        <item m="1" x="949"/>
        <item m="1" x="3321"/>
        <item m="1" x="2531"/>
        <item m="1" x="3091"/>
        <item m="1" x="5816"/>
        <item m="1" x="4796"/>
        <item m="1" x="1669"/>
        <item m="1" x="2277"/>
        <item m="1" x="1756"/>
        <item m="1" x="4454"/>
        <item m="1" x="3828"/>
        <item m="1" x="2130"/>
        <item m="1" x="317"/>
        <item m="1" x="2425"/>
        <item m="1" x="247"/>
        <item m="1" x="3115"/>
        <item m="1" x="3818"/>
        <item m="1" x="3582"/>
        <item m="1" x="6049"/>
        <item m="1" x="2850"/>
        <item m="1" x="5919"/>
        <item m="1" x="5233"/>
        <item m="1" x="1810"/>
        <item m="1" x="5685"/>
        <item m="1" x="3414"/>
        <item m="1" x="627"/>
        <item m="1" x="4926"/>
        <item m="1" x="1883"/>
        <item m="1" x="4327"/>
        <item m="1" x="6053"/>
        <item m="1" x="5314"/>
        <item m="1" x="4283"/>
        <item m="1" x="5897"/>
        <item m="1" x="2054"/>
        <item m="1" x="6214"/>
        <item m="1" x="2193"/>
        <item m="1" x="4720"/>
        <item m="1" x="2790"/>
        <item m="1" x="381"/>
        <item m="1" x="6152"/>
        <item m="1" x="5247"/>
        <item m="1" x="3127"/>
        <item m="1" x="886"/>
        <item m="1" x="1426"/>
        <item m="1" x="3429"/>
        <item m="1" x="3155"/>
        <item m="1" x="4451"/>
        <item m="1" x="3319"/>
        <item m="1" x="2573"/>
        <item m="1" x="4187"/>
        <item m="1" x="2092"/>
        <item m="1" x="3732"/>
        <item m="1" x="5038"/>
        <item m="1" x="766"/>
        <item m="1" x="4694"/>
        <item m="1" x="1852"/>
        <item m="1" x="4231"/>
        <item m="1" x="3183"/>
        <item m="1" x="2270"/>
        <item m="1" x="2316"/>
        <item m="1" x="2497"/>
        <item m="1" x="1200"/>
        <item m="1" x="4067"/>
        <item m="1" x="2691"/>
        <item m="1" x="806"/>
        <item m="1" x="4135"/>
        <item m="1" x="5762"/>
        <item m="1" x="4874"/>
        <item m="1" x="917"/>
        <item m="1" x="5292"/>
        <item m="1" x="4512"/>
        <item m="1" x="3163"/>
        <item m="1" x="3940"/>
        <item m="1" x="3713"/>
        <item m="1" x="3497"/>
        <item m="1" x="1550"/>
        <item m="1" x="2519"/>
        <item m="1" x="4051"/>
        <item m="1" x="2342"/>
        <item m="1" x="3921"/>
        <item m="1" x="4236"/>
        <item m="1" x="2279"/>
        <item m="1" x="2341"/>
        <item m="1" x="601"/>
        <item m="1" x="1021"/>
        <item m="1" x="1336"/>
        <item m="1" x="5311"/>
        <item m="1" x="1753"/>
        <item m="1" x="5761"/>
        <item m="1" x="3795"/>
        <item m="1" x="5869"/>
        <item m="1" x="5221"/>
        <item m="1" x="1053"/>
        <item m="1" x="5819"/>
        <item m="1" x="2650"/>
        <item m="1" x="3847"/>
        <item m="1" x="5637"/>
        <item m="1" x="3488"/>
        <item m="1" x="1023"/>
        <item x="97"/>
        <item m="1" x="1222"/>
        <item m="1" x="3074"/>
        <item m="1" x="5943"/>
        <item m="1" x="3174"/>
        <item m="1" x="2552"/>
        <item m="1" x="3774"/>
        <item m="1" x="2936"/>
        <item m="1" x="326"/>
        <item m="1" x="1812"/>
        <item m="1" x="212"/>
        <item m="1" x="1212"/>
        <item m="1" x="3146"/>
        <item m="1" x="546"/>
        <item m="1" x="1706"/>
        <item m="1" x="6112"/>
        <item m="1" x="4481"/>
        <item m="1" x="1814"/>
        <item m="1" x="4036"/>
        <item m="1" x="5966"/>
        <item m="1" x="2015"/>
        <item m="1" x="2931"/>
        <item m="1" x="5673"/>
        <item m="1" x="4307"/>
        <item m="1" x="4539"/>
        <item m="1" x="1319"/>
        <item m="1" x="172"/>
        <item m="1" x="5005"/>
        <item m="1" x="155"/>
        <item m="1" x="994"/>
        <item m="1" x="1528"/>
        <item m="1" x="1512"/>
        <item m="1" x="1628"/>
        <item m="1" x="1705"/>
        <item m="1" x="3814"/>
        <item m="1" x="569"/>
        <item m="1" x="1880"/>
        <item m="1" x="4604"/>
        <item m="1" x="1271"/>
        <item m="1" x="3278"/>
        <item m="1" x="4147"/>
        <item m="1" x="4373"/>
        <item m="1" x="1645"/>
        <item m="1" x="4205"/>
        <item m="1" x="5023"/>
        <item m="1" x="1777"/>
        <item m="1" x="4965"/>
        <item m="1" x="3557"/>
        <item m="1" x="5116"/>
        <item m="1" x="4907"/>
        <item m="1" x="1305"/>
        <item m="1" x="5764"/>
        <item m="1" x="3724"/>
        <item m="1" x="5294"/>
        <item m="1" x="5506"/>
        <item m="1" x="3486"/>
        <item m="1" x="1963"/>
        <item m="1" x="1233"/>
        <item m="1" x="4362"/>
        <item m="1" x="4736"/>
        <item m="1" x="981"/>
        <item m="1" x="6213"/>
        <item m="1" x="606"/>
        <item m="1" x="218"/>
        <item m="1" x="3532"/>
        <item m="1" x="5135"/>
        <item m="1" x="1002"/>
        <item m="1" x="3084"/>
        <item m="1" x="696"/>
        <item m="1" x="5806"/>
        <item m="1" x="5264"/>
        <item m="1" x="3861"/>
        <item m="1" x="5700"/>
        <item m="1" x="3839"/>
        <item m="1" x="3484"/>
        <item m="1" x="1897"/>
        <item m="1" x="5283"/>
        <item m="1" x="5625"/>
        <item m="1" x="6165"/>
        <item m="1" x="3464"/>
        <item m="1" x="491"/>
        <item m="1" x="4001"/>
        <item m="1" x="1043"/>
        <item m="1" x="5927"/>
        <item m="1" x="337"/>
        <item x="83"/>
        <item m="1" x="4548"/>
        <item m="1" x="4055"/>
        <item m="1" x="5013"/>
        <item m="1" x="4143"/>
        <item m="1" x="3260"/>
        <item m="1" x="3301"/>
        <item m="1" x="201"/>
        <item m="1" x="3119"/>
        <item m="1" x="2942"/>
        <item m="1" x="4329"/>
        <item m="1" x="3999"/>
        <item m="1" x="1107"/>
        <item m="1" x="4887"/>
        <item m="1" x="4126"/>
        <item m="1" x="1020"/>
        <item m="1" x="5577"/>
        <item m="1" x="471"/>
        <item m="1" x="2068"/>
        <item m="1" x="1289"/>
        <item m="1" x="6153"/>
        <item m="1" x="576"/>
        <item m="1" x="680"/>
        <item m="1" x="896"/>
        <item m="1" x="1719"/>
        <item m="1" x="1474"/>
        <item m="1" x="6144"/>
        <item m="1" x="2413"/>
        <item m="1" x="2638"/>
        <item m="1" x="2346"/>
        <item m="1" x="741"/>
        <item m="1" x="5663"/>
        <item m="1" x="3369"/>
        <item m="1" x="3203"/>
        <item m="1" x="2418"/>
        <item m="1" x="3104"/>
        <item m="1" x="985"/>
        <item m="1" x="2312"/>
        <item m="1" x="4911"/>
        <item m="1" x="1370"/>
        <item m="1" x="1408"/>
        <item m="1" x="2103"/>
        <item m="1" x="4564"/>
        <item m="1" x="441"/>
        <item m="1" x="258"/>
        <item m="1" x="1000"/>
        <item m="1" x="109"/>
        <item m="1" x="1939"/>
        <item m="1" x="236"/>
        <item m="1" x="1121"/>
        <item m="1" x="2242"/>
        <item m="1" x="3237"/>
        <item m="1" x="1906"/>
        <item m="1" x="1348"/>
        <item m="1" x="446"/>
        <item m="1" x="5697"/>
        <item m="1" x="5958"/>
        <item m="1" x="4738"/>
        <item m="1" x="3292"/>
        <item m="1" x="1051"/>
        <item m="1" x="243"/>
        <item m="1" x="1177"/>
        <item m="1" x="5268"/>
        <item m="1" x="338"/>
        <item m="1" x="2542"/>
        <item m="1" x="2854"/>
        <item m="1" x="676"/>
        <item m="1" x="3499"/>
        <item m="1" x="1972"/>
        <item m="1" x="3375"/>
        <item m="1" x="404"/>
        <item m="1" x="1419"/>
        <item m="1" x="3175"/>
        <item m="1" x="553"/>
        <item m="1" x="2750"/>
        <item m="1" x="969"/>
        <item m="1" x="5650"/>
        <item m="1" x="666"/>
        <item m="1" x="4308"/>
        <item m="1" x="4830"/>
        <item m="1" x="5633"/>
        <item m="1" x="3315"/>
        <item m="1" x="6156"/>
        <item m="1" x="4200"/>
        <item m="1" x="4885"/>
        <item m="1" x="3101"/>
        <item m="1" x="1362"/>
        <item m="1" x="758"/>
        <item m="1" x="2534"/>
        <item m="1" x="1469"/>
        <item m="1" x="1577"/>
        <item m="1" x="4934"/>
        <item m="1" x="134"/>
        <item m="1" x="3308"/>
        <item m="1" x="3188"/>
        <item m="1" x="5171"/>
        <item m="1" x="6056"/>
        <item m="1" x="341"/>
        <item m="1" x="4779"/>
        <item m="1" x="2681"/>
        <item m="1" x="1074"/>
        <item m="1" x="1477"/>
        <item m="1" x="1820"/>
        <item m="1" x="5737"/>
        <item m="1" x="2331"/>
        <item m="1" x="1554"/>
        <item m="1" x="4706"/>
        <item m="1" x="3949"/>
        <item m="1" x="209"/>
        <item m="1" x="2169"/>
        <item m="1" x="1227"/>
        <item m="1" x="2276"/>
        <item m="1" x="3621"/>
        <item m="1" x="4355"/>
        <item m="1" x="1905"/>
        <item m="1" x="418"/>
        <item m="1" x="3846"/>
        <item m="1" x="5534"/>
        <item m="1" x="2800"/>
        <item m="1" x="2666"/>
        <item m="1" x="4766"/>
        <item m="1" x="4118"/>
        <item m="1" x="2235"/>
        <item m="1" x="2109"/>
        <item m="1" x="1294"/>
        <item m="1" x="3961"/>
        <item m="1" x="5522"/>
        <item m="1" x="4970"/>
        <item m="1" x="1817"/>
        <item m="1" x="5850"/>
        <item m="1" x="3500"/>
        <item m="1" x="5249"/>
        <item m="1" x="1154"/>
        <item m="1" x="2173"/>
        <item m="1" x="5385"/>
        <item m="1" x="1415"/>
        <item m="1" x="4280"/>
        <item m="1" x="2043"/>
        <item m="1" x="1366"/>
        <item m="1" x="5627"/>
        <item m="1" x="1962"/>
        <item m="1" x="164"/>
        <item m="1" x="2498"/>
        <item m="1" x="5105"/>
        <item m="1" x="2464"/>
        <item m="1" x="4286"/>
        <item m="1" x="5661"/>
        <item m="1" x="5654"/>
        <item m="1" x="1717"/>
        <item m="1" x="5293"/>
        <item m="1" x="206"/>
        <item m="1" x="1970"/>
        <item m="1" x="2137"/>
        <item m="1" x="463"/>
        <item m="1" x="3877"/>
        <item m="1" x="1455"/>
        <item m="1" x="2384"/>
        <item m="1" x="5092"/>
        <item m="1" x="2086"/>
        <item m="1" x="3288"/>
        <item m="1" x="4025"/>
        <item m="1" x="1243"/>
        <item m="1" x="2225"/>
        <item m="1" x="1891"/>
        <item m="1" x="2200"/>
        <item m="1" x="358"/>
        <item m="1" x="2797"/>
        <item m="1" x="2992"/>
        <item m="1" x="4406"/>
        <item m="1" x="1022"/>
        <item m="1" x="2319"/>
        <item m="1" x="2411"/>
        <item m="1" x="4932"/>
        <item m="1" x="6242"/>
        <item m="1" x="5842"/>
        <item m="1" x="2215"/>
        <item m="1" x="4910"/>
        <item m="1" x="2431"/>
        <item m="1" x="774"/>
        <item m="1" x="6075"/>
        <item m="1" x="3438"/>
        <item m="1" x="2933"/>
        <item m="1" x="5401"/>
        <item m="1" x="5518"/>
        <item m="1" x="2923"/>
        <item m="1" x="4843"/>
        <item m="1" x="4263"/>
        <item m="1" x="4542"/>
        <item m="1" x="3173"/>
        <item m="1" x="2555"/>
        <item m="1" x="529"/>
        <item m="1" x="3347"/>
        <item m="1" x="2224"/>
        <item m="1" x="4363"/>
        <item m="1" x="4550"/>
        <item m="1" x="1280"/>
        <item m="1" x="3675"/>
        <item m="1" x="6194"/>
        <item m="1" x="191"/>
        <item m="1" x="4844"/>
        <item m="1" x="3241"/>
        <item m="1" x="5106"/>
        <item m="1" x="1823"/>
        <item m="1" x="3251"/>
        <item m="1" x="1484"/>
        <item m="1" x="3996"/>
        <item m="1" x="3561"/>
        <item m="1" x="2322"/>
        <item m="1" x="2994"/>
        <item m="1" x="3222"/>
        <item m="1" x="664"/>
        <item m="1" x="2207"/>
        <item m="1" x="4491"/>
        <item m="1" x="3313"/>
        <item m="1" x="887"/>
        <item m="1" x="3180"/>
        <item m="1" x="3870"/>
        <item m="1" x="803"/>
        <item m="1" x="2937"/>
        <item m="1" x="2620"/>
        <item m="1" x="4207"/>
        <item m="1" x="2771"/>
        <item m="1" x="183"/>
        <item m="1" x="4423"/>
        <item m="1" x="4134"/>
        <item m="1" x="5586"/>
        <item m="1" x="5381"/>
        <item m="1" x="5117"/>
        <item m="1" x="4416"/>
        <item m="1" x="6212"/>
        <item m="1" x="1513"/>
        <item m="1" x="1316"/>
        <item m="1" x="2631"/>
        <item m="1" x="2107"/>
        <item m="1" x="1813"/>
        <item m="1" x="2199"/>
        <item m="1" x="4708"/>
        <item m="1" x="4202"/>
        <item m="1" x="1816"/>
        <item m="1" x="319"/>
        <item m="1" x="4336"/>
        <item m="1" x="5482"/>
        <item m="1" x="1174"/>
        <item m="1" x="346"/>
        <item m="1" x="5182"/>
        <item m="1" x="690"/>
        <item m="1" x="4244"/>
        <item m="1" x="4353"/>
        <item m="1" x="4298"/>
        <item m="1" x="3731"/>
        <item m="1" x="1629"/>
        <item m="1" x="4212"/>
        <item m="1" x="5473"/>
        <item m="1" x="130"/>
        <item m="1" x="5503"/>
        <item m="1" x="952"/>
        <item m="1" x="1904"/>
        <item m="1" x="230"/>
        <item m="1" x="176"/>
        <item m="1" x="4655"/>
        <item m="1" x="528"/>
        <item m="1" x="2253"/>
        <item m="1" x="4837"/>
        <item m="1" x="3304"/>
        <item m="1" x="5951"/>
        <item m="1" x="4535"/>
        <item m="1" x="3559"/>
        <item m="1" x="5924"/>
        <item m="1" x="1516"/>
        <item m="1" x="2187"/>
        <item m="1" x="4292"/>
        <item m="1" x="3584"/>
        <item m="1" x="4740"/>
        <item m="1" x="1141"/>
        <item m="1" x="3546"/>
        <item m="1" x="5463"/>
        <item m="1" x="5437"/>
        <item m="1" x="4950"/>
        <item m="1" x="4595"/>
        <item m="1" x="1913"/>
        <item m="1" x="5369"/>
        <item m="1" x="5108"/>
        <item m="1" x="4524"/>
        <item m="1" x="2605"/>
        <item m="1" x="1886"/>
        <item m="1" x="4279"/>
        <item m="1" x="6218"/>
        <item m="1" x="863"/>
        <item m="1" x="5648"/>
        <item m="1" x="4201"/>
        <item m="1" x="2404"/>
        <item m="1" x="4742"/>
        <item m="1" x="5278"/>
        <item m="1" x="983"/>
        <item m="1" x="2961"/>
        <item m="1" x="3458"/>
        <item m="1" x="1576"/>
        <item m="1" x="3813"/>
        <item m="1" x="469"/>
        <item m="1" x="5798"/>
        <item m="1" x="498"/>
        <item m="1" x="1951"/>
        <item m="1" x="854"/>
        <item m="1" x="4497"/>
        <item m="1" x="5722"/>
        <item m="1" x="3303"/>
        <item m="1" x="1689"/>
        <item m="1" x="5490"/>
        <item m="1" x="4076"/>
        <item m="1" x="5260"/>
        <item m="1" x="2892"/>
        <item m="1" x="4087"/>
        <item m="1" x="5959"/>
        <item m="1" x="5624"/>
        <item m="1" x="1124"/>
        <item m="1" x="1137"/>
        <item m="1" x="637"/>
        <item m="1" x="4527"/>
        <item m="1" x="547"/>
        <item m="1" x="5252"/>
        <item m="1" x="4102"/>
        <item m="1" x="3026"/>
        <item m="1" x="4938"/>
        <item m="1" x="1019"/>
        <item m="1" x="5643"/>
        <item m="1" x="113"/>
        <item m="1" x="2176"/>
        <item m="1" x="5107"/>
        <item m="1" x="294"/>
        <item m="1" x="3529"/>
        <item m="1" x="2483"/>
        <item m="1" x="3636"/>
        <item m="1" x="2941"/>
        <item m="1" x="850"/>
        <item m="1" x="844"/>
        <item x="76"/>
        <item m="1" x="1359"/>
        <item m="1" x="4666"/>
        <item m="1" x="6173"/>
        <item m="1" x="2582"/>
        <item m="1" x="2956"/>
        <item m="1" x="5365"/>
        <item m="1" x="2594"/>
        <item m="1" x="5055"/>
        <item m="1" x="3177"/>
        <item m="1" x="2887"/>
        <item m="1" x="651"/>
        <item m="1" x="6011"/>
        <item m="1" x="4411"/>
        <item m="1" x="642"/>
        <item m="1" x="3597"/>
        <item m="1" x="804"/>
        <item m="1" x="5010"/>
        <item m="1" x="1560"/>
        <item m="1" x="823"/>
        <item m="1" x="3506"/>
        <item m="1" x="4927"/>
        <item m="1" x="584"/>
        <item m="1" x="5456"/>
        <item m="1" x="1178"/>
        <item m="1" x="988"/>
        <item m="1" x="292"/>
        <item m="1" x="5102"/>
        <item m="1" x="1471"/>
        <item m="1" x="3777"/>
        <item m="1" x="2971"/>
        <item m="1" x="2340"/>
        <item m="1" x="395"/>
        <item m="1" x="1937"/>
        <item m="1" x="916"/>
        <item m="1" x="914"/>
        <item m="1" x="632"/>
        <item m="1" x="2953"/>
        <item m="1" x="1128"/>
        <item m="1" x="2814"/>
        <item m="1" x="2471"/>
        <item m="1" x="4409"/>
        <item m="1" x="913"/>
        <item m="1" x="2154"/>
        <item m="1" x="1614"/>
        <item x="86"/>
        <item m="1" x="2827"/>
        <item m="1" x="3917"/>
        <item m="1" x="6083"/>
        <item m="1" x="1500"/>
        <item m="1" x="1206"/>
        <item m="1" x="802"/>
        <item m="1" x="6231"/>
        <item m="1" x="3537"/>
        <item x="11"/>
        <item x="30"/>
        <item m="1" x="310"/>
        <item x="56"/>
        <item m="1" x="727"/>
        <item x="74"/>
        <item m="1" x="5893"/>
        <item m="1" x="5077"/>
        <item m="1" x="1421"/>
        <item m="1" x="2655"/>
        <item m="1" x="4754"/>
        <item m="1" x="5888"/>
        <item m="1" x="2600"/>
        <item m="1" x="495"/>
        <item m="1" x="2353"/>
        <item m="1" x="506"/>
        <item m="1" x="2390"/>
        <item m="1" x="4809"/>
        <item m="1" x="2039"/>
        <item m="1" x="4026"/>
        <item m="1" x="2643"/>
        <item m="1" x="4804"/>
        <item m="1" x="1569"/>
        <item m="1" x="693"/>
        <item m="1" x="4770"/>
        <item m="1" x="320"/>
        <item m="1" x="848"/>
        <item m="1" x="858"/>
        <item m="1" x="3564"/>
        <item m="1" x="1835"/>
        <item m="1" x="721"/>
        <item m="1" x="4435"/>
        <item m="1" x="3401"/>
        <item m="1" x="5752"/>
        <item x="1"/>
        <item m="1" x="1659"/>
        <item m="1" x="655"/>
        <item m="1" x="2807"/>
        <item m="1" x="2625"/>
        <item m="1" x="2513"/>
        <item m="1" x="2113"/>
        <item m="1" x="2247"/>
        <item m="1" x="3040"/>
        <item m="1" x="4768"/>
        <item m="1" x="4037"/>
        <item m="1" x="5227"/>
        <item m="1" x="5321"/>
        <item x="106"/>
        <item m="1" x="3687"/>
        <item m="1" x="451"/>
        <item m="1" x="5460"/>
        <item m="1" x="1604"/>
        <item m="1" x="2424"/>
        <item m="1" x="3527"/>
        <item m="1" x="800"/>
        <item m="1" x="1973"/>
        <item m="1" x="3787"/>
        <item m="1" x="5407"/>
        <item m="1" x="5755"/>
        <item m="1" x="287"/>
        <item m="1" x="1260"/>
        <item m="1" x="1325"/>
        <item m="1" x="2315"/>
        <item m="1" x="4937"/>
        <item m="1" x="4748"/>
        <item m="1" x="1635"/>
        <item m="1" x="3522"/>
        <item m="1" x="4892"/>
        <item m="1" x="1673"/>
        <item m="1" x="788"/>
        <item m="1" x="3924"/>
        <item m="1" x="362"/>
        <item m="1" x="2925"/>
        <item m="1" x="227"/>
        <item m="1" x="2642"/>
        <item m="1" x="583"/>
        <item m="1" x="3889"/>
        <item m="1" x="2584"/>
        <item m="1" x="4369"/>
        <item m="1" x="1682"/>
        <item m="1" x="224"/>
        <item m="1" x="4351"/>
        <item m="1" x="4259"/>
        <item m="1" x="3367"/>
        <item m="1" x="5122"/>
        <item m="1" x="5413"/>
        <item m="1" x="4963"/>
        <item m="1" x="4349"/>
        <item m="1" x="5738"/>
        <item m="1" x="3708"/>
        <item x="58"/>
        <item m="1" x="731"/>
        <item m="1" x="2993"/>
        <item m="1" x="865"/>
        <item m="1" x="3981"/>
        <item m="1" x="3277"/>
        <item m="1" x="410"/>
        <item m="1" x="4677"/>
        <item m="1" x="3902"/>
        <item m="1" x="4242"/>
        <item m="1" x="4750"/>
        <item m="1" x="3821"/>
        <item m="1" x="6123"/>
        <item m="1" x="5786"/>
        <item m="1" x="509"/>
        <item m="1" x="2816"/>
        <item m="1" x="3003"/>
        <item m="1" x="1787"/>
        <item m="1" x="3246"/>
        <item m="1" x="3060"/>
        <item m="1" x="4865"/>
        <item m="1" x="3770"/>
        <item m="1" x="2447"/>
        <item m="1" x="4002"/>
        <item m="1" x="595"/>
        <item m="1" x="681"/>
        <item m="1" x="1698"/>
        <item m="1" x="343"/>
        <item m="1" x="4746"/>
        <item m="1" x="2742"/>
        <item m="1" x="3799"/>
        <item m="1" x="4628"/>
        <item m="1" x="2564"/>
        <item m="1" x="1655"/>
        <item m="1" x="4769"/>
        <item m="1" x="2809"/>
        <item m="1" x="3725"/>
        <item m="1" x="157"/>
        <item m="1" x="1269"/>
        <item m="1" x="1746"/>
        <item m="1" x="3701"/>
        <item m="1" x="5687"/>
        <item m="1" x="1086"/>
        <item m="1" x="263"/>
        <item m="1" x="4678"/>
        <item m="1" x="1792"/>
        <item m="1" x="2066"/>
        <item m="1" x="5090"/>
        <item m="1" x="6234"/>
        <item m="1" x="4361"/>
        <item m="1" x="5382"/>
        <item m="1" x="2371"/>
        <item m="1" x="3607"/>
        <item m="1" x="761"/>
        <item m="1" x="5743"/>
        <item m="1" x="4731"/>
        <item m="1" x="1518"/>
        <item m="1" x="1456"/>
        <item m="1" x="1003"/>
        <item m="1" x="593"/>
        <item m="1" x="181"/>
        <item m="1" x="4428"/>
        <item m="1" x="3428"/>
        <item m="1" x="2166"/>
        <item m="1" x="5653"/>
        <item m="1" x="3747"/>
        <item m="1" x="1380"/>
        <item m="1" x="3054"/>
        <item m="1" x="407"/>
        <item m="1" x="2821"/>
        <item m="1" x="6042"/>
        <item m="1" x="5298"/>
        <item m="1" x="3765"/>
        <item m="1" x="1436"/>
        <item m="1" x="148"/>
        <item x="98"/>
        <item m="1" x="1601"/>
        <item m="1" x="2389"/>
        <item m="1" x="2459"/>
        <item m="1" x="2128"/>
        <item m="1" x="6202"/>
        <item m="1" x="1826"/>
        <item m="1" x="1083"/>
        <item m="1" x="1007"/>
        <item m="1" x="2855"/>
        <item x="101"/>
        <item m="1" x="2885"/>
        <item m="1" x="4459"/>
        <item m="1" x="5760"/>
        <item m="1" x="3804"/>
        <item m="1" x="6107"/>
        <item m="1" x="2922"/>
        <item m="1" x="368"/>
        <item m="1" x="5800"/>
        <item m="1" x="930"/>
        <item m="1" x="3505"/>
        <item m="1" x="352"/>
        <item m="1" x="2946"/>
        <item m="1" x="4781"/>
        <item m="1" x="571"/>
        <item m="1" x="3270"/>
        <item m="1" x="5061"/>
        <item m="1" x="1527"/>
        <item m="1" x="686"/>
        <item m="1" x="1797"/>
        <item m="1" x="364"/>
        <item m="1" x="5375"/>
        <item m="1" x="1570"/>
        <item m="1" x="5735"/>
        <item m="1" x="2164"/>
        <item m="1" x="1960"/>
        <item m="1" x="5502"/>
        <item m="1" x="4478"/>
        <item m="1" x="5916"/>
        <item m="1" x="4218"/>
        <item m="1" x="997"/>
        <item m="1" x="6151"/>
        <item m="1" x="3485"/>
        <item m="1" x="2551"/>
        <item m="1" x="4394"/>
        <item m="1" x="4092"/>
        <item m="1" x="3694"/>
        <item m="1" x="5176"/>
        <item m="1" x="375"/>
        <item m="1" x="2375"/>
        <item m="1" x="5197"/>
        <item m="1" x="1232"/>
        <item m="1" x="1442"/>
        <item m="1" x="1353"/>
        <item m="1" x="5411"/>
        <item m="1" x="2067"/>
        <item m="1" x="2448"/>
        <item m="1" x="4382"/>
        <item m="1" x="2634"/>
        <item m="1" x="3720"/>
        <item m="1" x="2444"/>
        <item m="1" x="5699"/>
        <item m="1" x="6197"/>
        <item m="1" x="4088"/>
        <item m="1" x="1364"/>
        <item m="1" x="2443"/>
        <item m="1" x="3978"/>
        <item m="1" x="5997"/>
        <item m="1" x="2335"/>
        <item m="1" x="4260"/>
        <item m="1" x="2706"/>
        <item m="1" x="3761"/>
        <item m="1" x="5313"/>
        <item m="1" x="4641"/>
        <item m="1" x="1096"/>
        <item m="1" x="3854"/>
        <item m="1" x="1487"/>
        <item m="1" x="5802"/>
        <item m="1" x="837"/>
        <item m="1" x="3394"/>
        <item m="1" x="2440"/>
        <item m="1" x="3741"/>
        <item m="1" x="5251"/>
        <item m="1" x="2580"/>
        <item m="1" x="1736"/>
        <item m="1" x="5844"/>
        <item m="1" x="1161"/>
        <item m="1" x="3955"/>
        <item m="1" x="3665"/>
        <item m="1" x="5177"/>
        <item m="1" x="4346"/>
        <item m="1" x="2183"/>
        <item m="1" x="4902"/>
        <item m="1" x="5797"/>
        <item m="1" x="5886"/>
        <item m="1" x="3790"/>
        <item m="1" x="5448"/>
        <item m="1" x="5774"/>
        <item m="1" x="4718"/>
        <item m="1" x="6146"/>
        <item m="1" x="355"/>
        <item m="1" x="5350"/>
        <item m="1" x="3092"/>
        <item m="1" x="234"/>
        <item m="1" x="4009"/>
        <item m="1" x="3351"/>
        <item m="1" x="5464"/>
        <item m="1" x="5865"/>
        <item m="1" x="2661"/>
        <item x="89"/>
        <item m="1" x="612"/>
        <item m="1" x="4638"/>
        <item m="1" x="4696"/>
        <item m="1" x="4120"/>
        <item m="1" x="4167"/>
        <item m="1" x="5351"/>
        <item m="1" x="2028"/>
        <item m="1" x="618"/>
        <item m="1" x="4956"/>
        <item m="1" x="1750"/>
        <item m="1" x="5246"/>
        <item m="1" x="1579"/>
        <item m="1" x="5258"/>
        <item m="1" x="923"/>
        <item m="1" x="4547"/>
        <item m="1" x="5155"/>
        <item m="1" x="515"/>
        <item m="1" x="3551"/>
        <item m="1" x="3100"/>
        <item m="1" x="2466"/>
        <item m="1" x="2603"/>
        <item m="1" x="5161"/>
        <item m="1" x="4446"/>
        <item m="1" x="5756"/>
        <item m="1" x="2134"/>
        <item m="1" x="5143"/>
        <item m="1" x="5766"/>
        <item m="1" x="4227"/>
        <item m="1" x="5074"/>
        <item m="1" x="5328"/>
        <item m="1" x="4335"/>
        <item m="1" x="3952"/>
        <item m="1" x="742"/>
        <item m="1" x="5154"/>
        <item m="1" x="2766"/>
        <item m="1" x="1017"/>
        <item m="1" x="5529"/>
        <item m="1" x="5770"/>
        <item m="1" x="2618"/>
        <item m="1" x="2674"/>
        <item m="1" x="1070"/>
        <item m="1" x="5378"/>
        <item m="1" x="2726"/>
        <item m="1" x="6148"/>
        <item m="1" x="5674"/>
        <item m="1" x="2500"/>
        <item m="1" x="3601"/>
        <item m="1" x="1397"/>
        <item m="1" x="1229"/>
        <item m="1" x="3121"/>
        <item m="1" x="2610"/>
        <item m="1" x="3671"/>
        <item m="1" x="6074"/>
        <item m="1" x="4097"/>
        <item m="1" x="2360"/>
        <item m="1" x="2587"/>
        <item m="1" x="2011"/>
        <item m="1" x="6009"/>
        <item m="1" x="5165"/>
        <item m="1" x="5181"/>
        <item m="1" x="4654"/>
        <item m="1" x="521"/>
        <item m="1" x="1526"/>
        <item m="1" x="4560"/>
        <item m="1" x="1084"/>
        <item m="1" x="2383"/>
        <item m="1" x="5623"/>
        <item m="1" x="442"/>
        <item m="1" x="1424"/>
        <item m="1" x="3142"/>
        <item m="1" x="2476"/>
        <item m="1" x="2723"/>
        <item m="1" x="4105"/>
        <item m="1" x="808"/>
        <item m="1" x="5726"/>
        <item m="1" x="4482"/>
        <item m="1" x="2905"/>
        <item m="1" x="2948"/>
        <item m="1" x="5873"/>
        <item x="96"/>
        <item m="1" x="6243"/>
        <item m="1" x="3822"/>
        <item m="1" x="5322"/>
        <item m="1" x="5068"/>
        <item m="1" x="1402"/>
        <item m="1" x="5611"/>
        <item m="1" x="2823"/>
        <item m="1" x="1522"/>
        <item m="1" x="1765"/>
        <item m="1" x="2548"/>
        <item m="1" x="619"/>
        <item x="93"/>
        <item m="1" x="5507"/>
        <item m="1" x="4909"/>
        <item m="1" x="5175"/>
        <item m="1" x="5120"/>
        <item m="1" x="1585"/>
        <item m="1" x="4845"/>
        <item m="1" x="4682"/>
        <item m="1" x="241"/>
        <item m="1" x="2095"/>
        <item m="1" x="5193"/>
        <item m="1" x="2123"/>
        <item m="1" x="4442"/>
        <item m="1" x="3650"/>
        <item m="1" x="3773"/>
        <item m="1" x="5949"/>
        <item m="1" x="1779"/>
        <item m="1" x="5584"/>
        <item m="1" x="3874"/>
        <item m="1" x="2557"/>
        <item m="1" x="4981"/>
        <item m="1" x="2006"/>
        <item m="1" x="5942"/>
        <item m="1" x="2064"/>
        <item x="88"/>
        <item m="1" x="4186"/>
        <item m="1" x="3576"/>
        <item m="1" x="5185"/>
        <item m="1" x="2569"/>
        <item m="1" x="5244"/>
        <item m="1" x="2182"/>
        <item m="1" x="3345"/>
        <item m="1" x="3162"/>
        <item m="1" x="1251"/>
        <item m="1" x="302"/>
        <item m="1" x="3202"/>
        <item m="1" x="5521"/>
        <item m="1" x="3659"/>
        <item m="1" x="549"/>
        <item m="1" x="1293"/>
        <item m="1" x="1164"/>
        <item m="1" x="1988"/>
        <item m="1" x="4758"/>
        <item m="1" x="3283"/>
        <item m="1" x="5821"/>
        <item m="1" x="453"/>
        <item m="1" x="1092"/>
        <item m="1" x="5272"/>
        <item m="1" x="5326"/>
        <item m="1" x="1277"/>
        <item m="1" x="3620"/>
        <item m="1" x="5308"/>
        <item m="1" x="1075"/>
        <item m="1" x="4554"/>
        <item m="1" x="2572"/>
        <item m="1" x="2554"/>
        <item m="1" x="3226"/>
        <item m="1" x="3227"/>
        <item m="1" x="2975"/>
        <item m="1" x="2336"/>
        <item m="1" x="500"/>
        <item m="1" x="1727"/>
        <item m="1" x="6225"/>
        <item m="1" x="1556"/>
        <item m="1" x="3894"/>
        <item m="1" x="1833"/>
        <item m="1" x="4358"/>
        <item x="77"/>
        <item m="1" x="1346"/>
        <item m="1" x="5767"/>
        <item m="1" x="2158"/>
        <item m="1" x="2989"/>
        <item m="1" x="4894"/>
        <item m="1" x="4622"/>
        <item m="1" x="6014"/>
        <item m="1" x="6045"/>
        <item m="1" x="604"/>
        <item m="1" x="2515"/>
        <item m="1" x="2156"/>
        <item m="1" x="3138"/>
        <item m="1" x="4121"/>
        <item m="1" x="6033"/>
        <item m="1" x="4858"/>
        <item m="1" x="2051"/>
        <item m="1" x="3326"/>
        <item m="1" x="3247"/>
        <item m="1" x="5830"/>
        <item m="1" x="1680"/>
        <item m="1" x="2696"/>
        <item m="1" x="4138"/>
        <item m="1" x="2852"/>
        <item m="1" x="2825"/>
        <item m="1" x="1210"/>
        <item m="1" x="1338"/>
        <item m="1" x="1995"/>
        <item m="1" x="1933"/>
        <item m="1" x="3468"/>
        <item m="1" x="6125"/>
        <item m="1" x="5312"/>
        <item m="1" x="3001"/>
        <item m="1" x="1724"/>
        <item m="1" x="1624"/>
        <item m="1" x="2799"/>
        <item m="1" x="3272"/>
        <item m="1" x="4662"/>
        <item m="1" x="2717"/>
        <item m="1" x="1922"/>
        <item m="1" x="1126"/>
        <item m="1" x="5607"/>
        <item m="1" x="2640"/>
        <item x="54"/>
        <item m="1" x="2819"/>
        <item m="1" x="213"/>
        <item m="1" x="1501"/>
        <item m="1" x="1758"/>
        <item m="1" x="555"/>
        <item m="1" x="4498"/>
        <item m="1" x="4596"/>
        <item m="1" x="4651"/>
        <item m="1" x="6143"/>
        <item m="1" x="2140"/>
        <item m="1" x="1270"/>
        <item m="1" x="579"/>
        <item m="1" x="2653"/>
        <item m="1" x="4093"/>
        <item m="1" x="5445"/>
        <item m="1" x="791"/>
        <item m="1" x="6061"/>
        <item m="1" x="1454"/>
        <item m="1" x="5207"/>
        <item m="1" x="1278"/>
        <item m="1" x="4000"/>
        <item m="1" x="3130"/>
        <item m="1" x="5851"/>
        <item m="1" x="2711"/>
        <item m="1" x="6079"/>
        <item m="1" x="5750"/>
        <item m="1" x="5204"/>
        <item m="1" x="5513"/>
        <item m="1" x="3343"/>
        <item m="1" x="136"/>
        <item x="75"/>
        <item x="95"/>
        <item m="1" x="5015"/>
        <item m="1" x="1300"/>
        <item m="1" x="1082"/>
        <item m="1" x="478"/>
        <item m="1" x="295"/>
        <item m="1" x="4686"/>
        <item m="1" x="2754"/>
        <item m="1" x="1099"/>
        <item m="1" x="1691"/>
        <item m="1" x="1976"/>
        <item m="1" x="4437"/>
        <item m="1" x="460"/>
        <item m="1" x="3094"/>
        <item m="1" x="3354"/>
        <item m="1" x="6089"/>
        <item m="1" x="2143"/>
        <item m="1" x="4525"/>
        <item m="1" x="2710"/>
        <item m="1" x="2602"/>
        <item m="1" x="2633"/>
        <item m="1" x="4735"/>
        <item m="1" x="3993"/>
        <item m="1" x="6119"/>
        <item m="1" x="1869"/>
        <item m="1" x="5406"/>
        <item m="1" x="2022"/>
        <item m="1" x="2611"/>
        <item m="1" x="689"/>
        <item m="1" x="4099"/>
        <item m="1" x="3548"/>
        <item m="1" x="2087"/>
        <item m="1" x="3447"/>
        <item m="1" x="1032"/>
        <item m="1" x="199"/>
        <item m="1" x="732"/>
        <item m="1" x="2986"/>
        <item m="1" x="5214"/>
        <item m="1" x="2787"/>
        <item m="1" x="4661"/>
        <item m="1" x="3300"/>
        <item m="1" x="5576"/>
        <item m="1" x="4127"/>
        <item m="1" x="5631"/>
        <item m="1" x="483"/>
        <item m="1" x="3492"/>
        <item m="1" x="3128"/>
        <item m="1" x="2255"/>
        <item m="1" x="5543"/>
        <item m="1" x="628"/>
        <item x="78"/>
        <item m="1" x="4109"/>
        <item m="1" x="2785"/>
        <item m="1" x="3309"/>
        <item m="1" x="768"/>
        <item m="1" x="6108"/>
        <item m="1" x="5071"/>
        <item m="1" x="5081"/>
        <item x="104"/>
        <item m="1" x="3654"/>
        <item m="1" x="2829"/>
        <item m="1" x="4717"/>
        <item m="1" x="6077"/>
        <item m="1" x="4702"/>
        <item m="1" x="5583"/>
        <item m="1" x="6150"/>
        <item m="1" x="5504"/>
        <item m="1" x="1745"/>
        <item m="1" x="1483"/>
        <item m="1" x="5483"/>
        <item m="1" x="1037"/>
        <item m="1" x="2813"/>
        <item m="1" x="2876"/>
        <item m="1" x="4115"/>
        <item m="1" x="2005"/>
        <item m="1" x="3149"/>
        <item m="1" x="1491"/>
        <item m="1" x="3460"/>
        <item m="1" x="2996"/>
        <item m="1" x="4197"/>
        <item m="1" x="215"/>
        <item m="1" x="771"/>
        <item m="1" x="1451"/>
        <item m="1" x="5142"/>
        <item m="1" x="4572"/>
        <item m="1" x="3618"/>
        <item m="1" x="5527"/>
        <item m="1" x="1927"/>
        <item m="1" x="1304"/>
        <item m="1" x="3440"/>
        <item m="1" x="1600"/>
        <item m="1" x="4862"/>
        <item m="1" x="2474"/>
        <item m="1" x="5027"/>
        <item m="1" x="3503"/>
        <item m="1" x="2928"/>
        <item m="1" x="2295"/>
        <item m="1" x="2843"/>
        <item m="1" x="3420"/>
        <item m="1" x="982"/>
        <item m="1" x="160"/>
        <item m="1" x="5591"/>
        <item m="1" x="4422"/>
        <item m="1" x="4029"/>
        <item m="1" x="6087"/>
        <item m="1" x="2406"/>
        <item m="1" x="1991"/>
        <item m="1" x="429"/>
        <item m="1" x="5813"/>
        <item m="1" x="6102"/>
        <item m="1" x="919"/>
        <item m="1" x="5824"/>
        <item m="1" x="4062"/>
        <item m="1" x="1390"/>
        <item m="1" x="3876"/>
        <item m="1" x="2798"/>
        <item m="1" x="4047"/>
        <item m="1" x="5290"/>
        <item m="1" x="778"/>
        <item m="1" x="4553"/>
        <item m="1" x="540"/>
        <item m="1" x="4881"/>
        <item m="1" x="4842"/>
        <item m="1" x="3591"/>
        <item m="1" x="4254"/>
        <item m="1" x="1543"/>
        <item m="1" x="3043"/>
        <item m="1" x="5662"/>
        <item m="1" x="1135"/>
        <item m="1" x="3634"/>
        <item m="1" x="1611"/>
        <item m="1" x="2108"/>
        <item m="1" x="4175"/>
        <item m="1" x="151"/>
        <item m="1" x="2921"/>
        <item m="1" x="3707"/>
        <item m="1" x="5781"/>
        <item m="1" x="1720"/>
        <item m="1" x="5948"/>
        <item m="1" x="5475"/>
        <item m="1" x="4519"/>
        <item m="1" x="4183"/>
        <item m="1" x="3073"/>
        <item m="1" x="5836"/>
        <item m="1" x="4976"/>
        <item m="1" x="1254"/>
        <item m="1" x="3556"/>
        <item m="1" x="4856"/>
        <item m="1" x="3758"/>
        <item m="1" x="734"/>
        <item m="1" x="3416"/>
        <item m="1" x="5443"/>
        <item m="1" x="2214"/>
        <item x="103"/>
        <item m="1" x="1893"/>
        <item m="1" x="5693"/>
        <item m="1" x="2426"/>
        <item m="1" x="2421"/>
        <item x="26"/>
        <item m="1" x="5647"/>
        <item m="1" x="5704"/>
        <item m="1" x="5993"/>
        <item m="1" x="3585"/>
        <item m="1" x="4432"/>
        <item m="1" x="1211"/>
        <item m="1" x="259"/>
        <item m="1" x="4538"/>
        <item m="1" x="3533"/>
        <item m="1" x="1695"/>
        <item m="1" x="5508"/>
        <item m="1" x="2877"/>
        <item m="1" x="4719"/>
        <item m="1" x="496"/>
        <item m="1" x="1918"/>
        <item m="1" x="3801"/>
        <item m="1" x="6041"/>
        <item m="1" x="1686"/>
        <item m="1" x="3160"/>
        <item m="1" x="3098"/>
        <item m="1" x="4429"/>
        <item m="1" x="3093"/>
        <item m="1" x="4266"/>
        <item x="99"/>
        <item m="1" x="3573"/>
        <item m="1" x="2217"/>
        <item m="1" x="4528"/>
        <item m="1" x="4235"/>
        <item m="1" x="4982"/>
        <item m="1" x="5573"/>
        <item m="1" x="5458"/>
        <item m="1" x="2835"/>
        <item m="1" x="3788"/>
        <item m="1" x="3508"/>
        <item m="1" x="966"/>
        <item m="1" x="4112"/>
        <item m="1" x="269"/>
        <item m="1" x="6159"/>
        <item m="1" x="1114"/>
        <item m="1" x="739"/>
        <item m="1" x="2718"/>
        <item m="1" x="5198"/>
        <item m="1" x="4059"/>
        <item m="1" x="2380"/>
        <item m="1" x="624"/>
        <item m="1" x="736"/>
        <item m="1" x="4675"/>
        <item m="1" x="1667"/>
        <item m="1" x="324"/>
        <item m="1" x="5436"/>
        <item m="1" x="4396"/>
        <item m="1" x="6169"/>
        <item m="1" x="290"/>
        <item m="1" x="485"/>
        <item m="1" x="2968"/>
        <item m="1" x="4980"/>
        <item m="1" x="3625"/>
        <item m="1" x="2141"/>
        <item m="1" x="3586"/>
        <item m="1" x="4272"/>
        <item m="1" x="3913"/>
        <item m="1" x="2861"/>
        <item m="1" x="456"/>
        <item m="1" x="1186"/>
        <item m="1" x="809"/>
        <item m="1" x="5953"/>
        <item m="1" x="2163"/>
        <item m="1" x="3076"/>
        <item m="1" x="4177"/>
        <item m="1" x="3558"/>
        <item m="1" x="6241"/>
        <item m="1" x="4715"/>
        <item m="1" x="1406"/>
        <item m="1" x="1870"/>
        <item m="1" x="2484"/>
        <item m="1" x="1704"/>
        <item m="1" x="2023"/>
        <item m="1" x="3062"/>
        <item m="1" x="3406"/>
        <item m="1" x="3711"/>
        <item m="1" x="4057"/>
        <item m="1" x="3543"/>
        <item m="1" x="3683"/>
        <item m="1" x="3869"/>
        <item m="1" x="4033"/>
        <item m="1" x="4688"/>
        <item m="1" x="789"/>
        <item m="1" x="4734"/>
        <item m="1" x="1825"/>
        <item m="1" x="5439"/>
        <item m="1" x="4333"/>
        <item m="1" x="3261"/>
        <item m="1" x="1109"/>
        <item m="1" x="2896"/>
        <item m="1" x="2526"/>
        <item m="1" x="1005"/>
        <item m="1" x="1331"/>
        <item m="1" x="3112"/>
        <item m="1" x="4174"/>
        <item m="1" x="6028"/>
        <item m="1" x="4531"/>
        <item m="1" x="177"/>
        <item m="1" x="1224"/>
        <item m="1" x="3009"/>
        <item m="1" x="4807"/>
        <item m="1" x="3339"/>
        <item m="1" x="4439"/>
        <item x="107"/>
        <item m="1" x="6211"/>
        <item m="1" x="5178"/>
        <item m="1" x="1877"/>
        <item x="100"/>
        <item m="1" x="5073"/>
        <item m="1" x="1781"/>
        <item m="1" x="5404"/>
        <item m="1" x="2122"/>
        <item m="1" x="4988"/>
        <item m="1" x="5595"/>
        <item m="1" x="2349"/>
        <item m="1" x="5196"/>
        <item m="1" x="2458"/>
        <item m="1" x="2683"/>
        <item m="1" x="2303"/>
        <item m="1" x="2882"/>
        <item m="1" x="4752"/>
        <item m="1" x="5190"/>
        <item m="1" x="5551"/>
        <item m="1" x="4573"/>
        <item m="1" x="1921"/>
        <item m="1" x="4789"/>
        <item m="1" x="3113"/>
        <item m="1" x="3245"/>
        <item m="1" x="3240"/>
        <item m="1" x="3184"/>
        <item m="1" x="2976"/>
        <item m="1" x="3392"/>
        <item m="1" x="3030"/>
        <item m="1" x="2758"/>
        <item m="1" x="1281"/>
        <item m="1" x="4241"/>
        <item m="1" x="1347"/>
        <item m="1" x="3929"/>
        <item m="1" x="1063"/>
        <item m="1" x="4360"/>
        <item m="1" x="3688"/>
        <item m="1" x="855"/>
        <item m="1" x="3425"/>
        <item m="1" x="6160"/>
        <item m="1" x="517"/>
        <item m="1" x="5435"/>
        <item m="1" x="4372"/>
        <item m="1" x="2616"/>
        <item m="1" x="787"/>
        <item m="1" x="5856"/>
        <item m="1" x="1170"/>
        <item m="1" x="5540"/>
        <item m="1" x="3736"/>
        <item m="1" x="4912"/>
        <item m="1" x="3832"/>
        <item m="1" x="2046"/>
        <item m="1" x="3534"/>
        <item m="1" x="1734"/>
        <item m="1" x="663"/>
        <item m="1" x="5018"/>
        <item m="1" x="3204"/>
        <item m="1" x="1171"/>
        <item m="1" x="3350"/>
        <item m="1" x="5528"/>
        <item m="1" x="1558"/>
        <item m="1" x="4464"/>
        <item m="1" x="466"/>
        <item m="1" x="4823"/>
        <item m="1" x="877"/>
        <item m="1" x="3041"/>
        <item m="1" x="5955"/>
        <item m="1" x="1928"/>
        <item m="1" x="2348"/>
        <item m="1" x="4540"/>
        <item m="1" x="1250"/>
        <item m="1" x="3448"/>
        <item m="1" x="5613"/>
        <item m="1" x="6039"/>
        <item m="1" x="2753"/>
        <item m="1" x="4918"/>
        <item m="1" x="959"/>
        <item m="1" x="3133"/>
        <item m="1" x="280"/>
        <item m="1" x="2462"/>
        <item m="1" x="4611"/>
        <item m="1" x="652"/>
        <item m="1" x="2832"/>
        <item m="1" x="1739"/>
        <item m="1" x="3916"/>
        <item m="1" x="6104"/>
        <item m="1" x="2131"/>
        <item m="1" x="4328"/>
        <item m="1" x="5392"/>
        <item m="1" x="1431"/>
        <item m="1" x="3619"/>
        <item m="1" x="5792"/>
        <item m="1" x="1795"/>
        <item m="1" x="5080"/>
        <item m="1" x="1119"/>
        <item m="1" x="3297"/>
        <item m="1" x="6201"/>
        <item m="1" x="1041"/>
        <item m="1" x="5189"/>
        <item m="1" x="3213"/>
        <item m="1" x="1234"/>
        <item m="1" x="1425"/>
        <item m="1" x="5594"/>
        <item m="1" x="3614"/>
        <item m="1" x="2333"/>
        <item m="1" x="356"/>
        <item m="1" x="537"/>
        <item m="1" x="2737"/>
        <item m="1" x="747"/>
        <item m="1" x="4900"/>
        <item m="1" x="5076"/>
        <item m="1" x="1803"/>
        <item m="1" x="4004"/>
        <item m="1" x="4181"/>
        <item m="1" x="2219"/>
        <item m="1" x="249"/>
        <item m="1" x="2441"/>
        <item m="1" x="3311"/>
        <item m="1" x="1322"/>
        <item m="1" x="5491"/>
        <item m="1" x="3514"/>
        <item m="1" x="1508"/>
        <item m="1" x="1722"/>
        <item m="1" x="5899"/>
        <item m="1" x="3887"/>
        <item m="1" x="1884"/>
        <item m="1" x="3396"/>
        <item m="1" x="1403"/>
        <item m="1" x="143"/>
        <item m="1" x="4311"/>
        <item m="1" x="4514"/>
        <item m="1" x="2545"/>
        <item m="1" x="507"/>
        <item m="1" x="4671"/>
        <item m="1" x="2719"/>
        <item m="1" x="2893"/>
        <item m="1" x="1613"/>
        <item m="1" x="5771"/>
        <item m="1" x="3783"/>
        <item m="1" x="1776"/>
        <item m="1" x="1994"/>
        <item m="1" x="6168"/>
        <item m="1" x="4163"/>
        <item m="1" x="2185"/>
        <item m="1" x="229"/>
        <item m="1" x="1108"/>
        <item m="1" x="5269"/>
        <item m="1" x="3284"/>
        <item m="1" x="1302"/>
        <item m="1" x="5468"/>
        <item m="1" x="5655"/>
        <item m="1" x="3666"/>
        <item m="1" x="1700"/>
        <item m="1" x="5872"/>
        <item m="1" x="4577"/>
        <item m="1" x="4762"/>
        <item m="1" x="2792"/>
        <item m="1" x="816"/>
        <item m="1" x="4973"/>
        <item m="1" x="3171"/>
        <item m="1" x="1188"/>
        <item m="1" x="1068"/>
        <item m="1" x="2150"/>
        <item m="1" x="3932"/>
        <item m="1" x="5733"/>
        <item m="1" x="4255"/>
        <item m="1" x="5335"/>
        <item m="1" x="974"/>
        <item m="1" x="2762"/>
        <item m="1" x="3855"/>
        <item m="1" x="2379"/>
        <item m="1" x="4141"/>
        <item m="1" x="5969"/>
        <item m="1" x="904"/>
        <item m="1" x="2702"/>
        <item m="1" x="1282"/>
        <item m="1" x="4168"/>
        <item m="1" x="1612"/>
        <item m="1" x="4493"/>
        <item m="1" x="1492"/>
        <item m="1" x="4380"/>
        <item m="1" x="1801"/>
        <item m="1" x="4679"/>
        <item m="1" x="1401"/>
        <item m="1" x="924"/>
        <item m="1" x="567"/>
        <item m="1" x="864"/>
        <item m="1" x="1134"/>
        <item m="1" x="4338"/>
        <item m="1" x="5151"/>
        <item m="1" x="4716"/>
        <item m="1" x="6048"/>
        <item m="1" x="4515"/>
        <item m="1" x="4184"/>
        <item m="1" x="1831"/>
        <item m="1" x="5139"/>
        <item m="1" x="1582"/>
        <item m="1" x="4864"/>
        <item m="1" x="1690"/>
        <item m="1" x="4931"/>
        <item m="1" x="1360"/>
        <item m="1" x="4635"/>
        <item m="1" x="1744"/>
        <item m="1" x="4344"/>
        <item m="1" x="5689"/>
        <item m="1" x="4610"/>
        <item m="1" x="2847"/>
        <item m="1" x="1029"/>
        <item m="1" x="6103"/>
        <item m="1" x="1430"/>
        <item m="1" x="5807"/>
        <item m="1" x="3992"/>
        <item m="1" x="2914"/>
        <item m="1" x="1129"/>
        <item m="1" x="838"/>
        <item m="1" x="5900"/>
        <item m="1" x="4095"/>
        <item m="1" x="2313"/>
        <item m="1" x="3784"/>
        <item m="1" x="2714"/>
        <item m="1" x="922"/>
        <item m="1" x="5270"/>
        <item m="1" x="4158"/>
        <item m="1" x="4377"/>
        <item x="92"/>
        <item m="1" x="416"/>
        <item m="1" x="2628"/>
        <item m="1" x="4753"/>
        <item m="1" x="1479"/>
        <item m="1" x="4058"/>
        <item m="1" x="2978"/>
        <item m="1" x="5144"/>
        <item m="1" x="5980"/>
        <item m="1" x="1952"/>
        <item m="1" x="4142"/>
        <item m="1" x="3469"/>
        <item m="1" x="1675"/>
        <item m="1" x="3843"/>
        <item m="1" x="4936"/>
        <item m="1" x="1875"/>
        <item m="1" x="1056"/>
        <item m="1" x="235"/>
        <item m="1" x="5525"/>
        <item m="1" x="2300"/>
        <item m="1" x="1450"/>
        <item m="1" x="6078"/>
        <item m="1" x="5211"/>
        <item m="1" x="4399"/>
        <item m="1" x="1156"/>
        <item m="1" x="330"/>
        <item m="1" x="5616"/>
        <item m="1" x="4070"/>
        <item m="1" x="3234"/>
        <item m="1" x="5316"/>
        <item m="1" x="4501"/>
        <item m="1" x="3635"/>
        <item m="1" x="2805"/>
        <item m="1" x="5715"/>
        <item m="1" x="4888"/>
        <item m="1" x="3340"/>
        <item m="1" x="2533"/>
        <item m="1" x="1658"/>
        <item m="1" x="3716"/>
        <item m="1" x="2900"/>
        <item m="1" x="1349"/>
        <item m="1" x="3759"/>
        <item m="1" x="550"/>
        <item m="1" x="5871"/>
        <item m="1" x="4332"/>
        <item m="1" x="3479"/>
        <item m="1" x="2659"/>
        <item m="1" x="5554"/>
        <item m="1" x="4698"/>
        <item m="1" x="3868"/>
        <item m="1" x="1472"/>
        <item m="1" x="4431"/>
        <item m="1" x="3572"/>
        <item m="1" x="2741"/>
        <item m="1" x="1855"/>
        <item m="1" x="1044"/>
        <item m="1" x="3970"/>
        <item m="1" x="3123"/>
        <item m="1" x="1580"/>
        <item m="1" x="756"/>
        <item m="1" x="6067"/>
        <item m="1" x="2831"/>
        <item m="1" x="1968"/>
        <item m="1" x="1142"/>
        <item m="1" x="5739"/>
        <item m="1" x="4905"/>
        <item m="1" x="1687"/>
        <item m="1" x="851"/>
        <item m="1" x="6147"/>
        <item m="1" x="5296"/>
        <item m="1" x="3739"/>
        <item m="1" x="1235"/>
        <item m="1" x="412"/>
        <item m="1" x="5004"/>
        <item m="1" x="4148"/>
        <item m="1" x="3323"/>
        <item m="1" x="5397"/>
        <item m="1" x="4566"/>
        <item m="1" x="3015"/>
        <item m="1" x="2174"/>
        <item m="1" x="5084"/>
        <item m="1" x="4258"/>
        <item m="1" x="3421"/>
        <item m="1" x="2623"/>
        <item m="1" x="1034"/>
        <item m="1" x="4653"/>
        <item m="1" x="2275"/>
        <item m="1" x="1434"/>
        <item m="1" x="599"/>
        <item m="1" x="2703"/>
        <item m="1" x="1808"/>
        <item m="1" x="305"/>
        <item m="1" x="5598"/>
        <item m="1" x="1515"/>
        <item m="1" x="708"/>
        <item m="1" x="6032"/>
        <item m="1" x="4477"/>
        <item m="1" x="1901"/>
        <item m="1" x="397"/>
        <item m="1" x="5688"/>
        <item m="1" x="4851"/>
        <item m="1" x="4013"/>
        <item m="1" x="805"/>
        <item m="1" x="6098"/>
        <item m="1" x="5248"/>
        <item m="1" x="3692"/>
        <item m="1" x="4940"/>
        <item m="1" x="937"/>
        <item m="1" x="3055"/>
        <item m="1" x="5183"/>
        <item m="1" x="743"/>
        <item m="1" x="2870"/>
        <item m="1" x="4306"/>
        <item m="1" x="2433"/>
        <item m="1" x="1926"/>
        <item m="1" x="4078"/>
        <item m="1" x="6230"/>
        <item m="1" x="2201"/>
        <item m="1" x="3630"/>
        <item m="1" x="6050"/>
        <item m="1" x="1295"/>
        <item m="1" x="3437"/>
        <item m="1" x="5566"/>
        <item m="1" x="2327"/>
        <item m="1" x="4484"/>
        <item m="1" x="444"/>
        <item m="1" x="2619"/>
        <item m="1" x="2120"/>
        <item m="1" x="4253"/>
        <item m="1" x="261"/>
        <item m="1" x="1674"/>
        <item m="1" x="3793"/>
        <item m="1" x="4045"/>
        <item m="1" x="5480"/>
        <item m="1" x="1452"/>
        <item m="1" x="3603"/>
        <item m="1" x="5729"/>
        <item m="1" x="5275"/>
        <item m="1" x="1262"/>
        <item m="1" x="3403"/>
        <item m="1" x="4820"/>
        <item m="1" x="824"/>
        <item m="1" x="373"/>
        <item m="1" x="2524"/>
        <item m="1" x="4619"/>
        <item m="1" x="2290"/>
        <item m="1" x="4443"/>
        <item m="1" x="5867"/>
        <item m="1" x="1811"/>
        <item m="1" x="3973"/>
        <item m="1" x="3520"/>
        <item m="1" x="5642"/>
        <item m="1" x="1636"/>
        <item m="1" x="3749"/>
        <item m="1" x="5184"/>
        <item m="1" x="5449"/>
        <item m="1" x="1427"/>
        <item m="1" x="2871"/>
        <item m="1" x="4996"/>
        <item m="1" x="984"/>
        <item m="1" x="518"/>
        <item m="1" x="2693"/>
        <item m="1" x="793"/>
        <item m="1" x="2204"/>
        <item m="1" x="2492"/>
        <item m="1" x="3878"/>
        <item m="1" x="6051"/>
        <item m="1" x="1997"/>
        <item m="1" x="4129"/>
        <item m="1" x="5826"/>
        <item m="1" x="1775"/>
        <item m="1" x="3225"/>
        <item m="1" x="5366"/>
        <item m="1" x="709"/>
        <item m="1" x="2836"/>
        <item m="1" x="4961"/>
        <item m="1" x="262"/>
        <item m="1" x="2381"/>
        <item m="1" x="1888"/>
        <item m="1" x="4048"/>
        <item m="1" x="6199"/>
        <item m="1" x="2168"/>
        <item m="1" x="4326"/>
        <item m="1" x="3850"/>
        <item m="1" x="6022"/>
        <item m="1" x="1263"/>
        <item m="1" x="3405"/>
        <item m="1" x="5532"/>
        <item m="1" x="5067"/>
        <item m="1" x="1062"/>
        <item m="1" x="3189"/>
        <item m="1" x="5325"/>
        <item m="1" x="876"/>
        <item m="1" x="4445"/>
        <item m="1" x="420"/>
        <item m="1" x="2094"/>
        <item m="1" x="4204"/>
        <item m="1" x="228"/>
        <item m="1" x="1639"/>
        <item m="1" x="3751"/>
        <item m="1" x="5452"/>
        <item m="1" x="1432"/>
        <item m="1" x="3571"/>
        <item m="1" x="5694"/>
        <item m="1" x="5238"/>
        <item m="1" x="1226"/>
        <item m="1" x="3364"/>
        <item m="1" x="4787"/>
        <item m="1" x="796"/>
        <item m="1" x="342"/>
        <item m="1" x="2495"/>
        <item m="1" x="4587"/>
        <item m="1" x="582"/>
        <item m="1" x="2729"/>
        <item m="1" x="4408"/>
        <item m="1" x="5827"/>
        <item m="1" x="1780"/>
        <item m="1" x="3939"/>
        <item m="1" x="5610"/>
        <item m="1" x="1603"/>
        <item m="1" x="3712"/>
        <item m="1" x="5148"/>
        <item m="1" x="5410"/>
        <item m="1" x="1395"/>
        <item m="1" x="2838"/>
        <item m="1" x="4962"/>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591">
      <pivotArea field="0" type="button" dataOnly="0" labelOnly="1" outline="0" axis="axisRow" fieldPosition="0"/>
    </format>
    <format dxfId="590">
      <pivotArea dataOnly="0" labelOnly="1" outline="0" fieldPosition="0">
        <references count="1">
          <reference field="4294967294" count="3">
            <x v="0"/>
            <x v="1"/>
            <x v="2"/>
          </reference>
        </references>
      </pivotArea>
    </format>
    <format dxfId="589">
      <pivotArea field="0" type="button" dataOnly="0" labelOnly="1" outline="0" axis="axisRow" fieldPosition="0"/>
    </format>
    <format dxfId="588">
      <pivotArea dataOnly="0" labelOnly="1" outline="0" fieldPosition="0">
        <references count="1">
          <reference field="4294967294" count="3">
            <x v="0"/>
            <x v="1"/>
            <x v="2"/>
          </reference>
        </references>
      </pivotArea>
    </format>
    <format dxfId="587">
      <pivotArea field="0" type="button" dataOnly="0" labelOnly="1" outline="0" axis="axisRow" fieldPosition="0"/>
    </format>
    <format dxfId="58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65" s="1"/>
        <i x="240" s="1" nd="1"/>
        <i x="213" s="1" nd="1"/>
        <i x="140" s="1" nd="1"/>
        <i x="205" s="1" nd="1"/>
        <i x="248" s="1" nd="1"/>
        <i x="184" s="1" nd="1"/>
        <i x="186" s="1" nd="1"/>
        <i x="215" s="1" nd="1"/>
        <i x="266" s="1" nd="1"/>
        <i x="233" s="1" nd="1"/>
        <i x="138" s="1" nd="1"/>
        <i x="327" s="1" nd="1"/>
        <i x="226" s="1" nd="1"/>
        <i x="263" s="1" nd="1"/>
        <i x="167" s="1" nd="1"/>
        <i x="236" s="1" nd="1"/>
        <i x="158" s="1" nd="1"/>
        <i x="202" s="1" nd="1"/>
        <i x="234" s="1" nd="1"/>
        <i x="311" s="1" nd="1"/>
        <i x="149" s="1" nd="1"/>
        <i x="131" s="1" nd="1"/>
        <i x="115" s="1" nd="1"/>
        <i x="247" s="1" nd="1"/>
        <i x="283" s="1" nd="1"/>
        <i x="239" s="1" nd="1"/>
        <i x="146" s="1" nd="1"/>
        <i x="180" s="1" nd="1"/>
        <i x="278" s="1" nd="1"/>
        <i x="176" s="1" nd="1"/>
        <i x="188" s="1" nd="1"/>
        <i x="204" s="1" nd="1"/>
        <i x="209" s="1" nd="1"/>
        <i x="284" s="1" nd="1"/>
        <i x="321" s="1" nd="1"/>
        <i x="315" s="1" nd="1"/>
        <i x="318" s="1" nd="1"/>
        <i x="249" s="1" nd="1"/>
        <i x="152" s="1" nd="1"/>
        <i x="300" s="1" nd="1"/>
        <i x="231" s="1" nd="1"/>
        <i x="160" s="1" nd="1"/>
        <i x="330" s="1" nd="1"/>
        <i x="243" s="1" nd="1"/>
        <i x="299" s="1" nd="1"/>
        <i x="134" s="1" nd="1"/>
        <i x="200" s="1" nd="1"/>
        <i x="259" s="1" nd="1"/>
        <i x="114" s="1" nd="1"/>
        <i x="230" s="1" nd="1"/>
        <i x="136" s="1" nd="1"/>
        <i x="162" s="1" nd="1"/>
        <i x="165" s="1" nd="1"/>
        <i x="225" s="1" nd="1"/>
        <i x="194" s="1" nd="1"/>
        <i x="119" s="1" nd="1"/>
        <i x="110" s="1" nd="1"/>
        <i x="163" s="1" nd="1"/>
        <i x="301" s="1" nd="1"/>
        <i x="187" s="1" nd="1"/>
        <i x="109" s="1" nd="1"/>
        <i x="305" s="1" nd="1"/>
        <i x="118" s="1" nd="1"/>
        <i x="289" s="1" nd="1"/>
        <i x="290" s="1" nd="1"/>
        <i x="121" s="1" nd="1"/>
        <i x="304" s="1" nd="1"/>
        <i x="128" s="1" nd="1"/>
        <i x="246" s="1" nd="1"/>
        <i x="267" s="1" nd="1"/>
        <i x="272" s="1" nd="1"/>
        <i x="220" s="1" nd="1"/>
        <i x="161" s="1" nd="1"/>
        <i x="179" s="1" nd="1"/>
        <i x="275" s="1" nd="1"/>
        <i x="319" s="1" nd="1"/>
        <i x="183" s="1" nd="1"/>
        <i x="295" s="1" nd="1"/>
        <i x="137" s="1" nd="1"/>
        <i x="216" s="1" nd="1"/>
        <i x="113" s="1" nd="1"/>
        <i x="277" s="1" nd="1"/>
        <i x="203" s="1" nd="1"/>
        <i x="323" s="1" nd="1"/>
        <i x="175" s="1" nd="1"/>
        <i x="169" s="1" nd="1"/>
        <i x="219" s="1" nd="1"/>
        <i x="210" s="1" nd="1"/>
        <i x="317" s="1" nd="1"/>
        <i x="325" s="1" nd="1"/>
        <i x="302" s="1" nd="1"/>
        <i x="127" s="1" nd="1"/>
        <i x="288" s="1" nd="1"/>
        <i x="286" s="1" nd="1"/>
        <i x="273" s="1" nd="1"/>
        <i x="150" s="1" nd="1"/>
        <i x="245" s="1" nd="1"/>
        <i x="306" s="1" nd="1"/>
        <i x="206" s="1" nd="1"/>
        <i x="198" s="1" nd="1"/>
        <i x="280" s="1" nd="1"/>
        <i x="244" s="1" nd="1"/>
        <i x="326" s="1" nd="1"/>
        <i x="293" s="1" nd="1"/>
        <i x="276" s="1" nd="1"/>
        <i x="214" s="1" nd="1"/>
        <i x="124" s="1" nd="1"/>
        <i x="135" s="1" nd="1"/>
        <i x="316" s="1" nd="1"/>
        <i x="155" s="1" nd="1"/>
        <i x="182" s="1" nd="1"/>
        <i x="328" s="1" nd="1"/>
        <i x="269" s="1" nd="1"/>
        <i x="250" s="1" nd="1"/>
        <i x="251" s="1" nd="1"/>
        <i x="222" s="1" nd="1"/>
        <i x="199" s="1" nd="1"/>
        <i x="133" s="1" nd="1"/>
        <i x="139" s="1" nd="1"/>
        <i x="281" s="1" nd="1"/>
        <i x="270" s="1" nd="1"/>
        <i x="143" s="1" nd="1"/>
        <i x="258" s="1" nd="1"/>
        <i x="178" s="1" nd="1"/>
        <i x="322" s="1" nd="1"/>
        <i x="141" s="1" nd="1"/>
        <i x="185" s="1" nd="1"/>
        <i x="112" s="1" nd="1"/>
        <i x="208" s="1" nd="1"/>
        <i x="147" s="1" nd="1"/>
        <i x="309" s="1" nd="1"/>
        <i x="196" s="1" nd="1"/>
        <i x="310" s="1" nd="1"/>
        <i x="217" s="1" nd="1"/>
        <i x="279" s="1" nd="1"/>
        <i x="287" s="1" nd="1"/>
        <i x="153" s="1" nd="1"/>
        <i x="168" s="1" nd="1"/>
        <i x="320" s="1" nd="1"/>
        <i x="298" s="1" nd="1"/>
        <i x="255" s="1" nd="1"/>
        <i x="120" s="1" nd="1"/>
        <i x="297" s="1" nd="1"/>
        <i x="145" s="1" nd="1"/>
        <i x="253" s="1" nd="1"/>
        <i x="229" s="1" nd="1"/>
        <i x="129" s="1" nd="1"/>
        <i x="212" s="1" nd="1"/>
        <i x="159" s="1" nd="1"/>
        <i x="190" s="1" nd="1"/>
        <i x="271" s="1" nd="1"/>
        <i x="144" s="1" nd="1"/>
        <i x="262" s="1" nd="1"/>
        <i x="181" s="1" nd="1"/>
        <i x="171" s="1" nd="1"/>
        <i x="195" s="1" nd="1"/>
        <i x="313" s="1" nd="1"/>
        <i x="126" s="1" nd="1"/>
        <i x="291" s="1" nd="1"/>
        <i x="116" s="1" nd="1"/>
        <i x="192" s="1" nd="1"/>
        <i x="314" s="1" nd="1"/>
        <i x="227" s="1" nd="1"/>
        <i x="173" s="1" nd="1"/>
        <i x="256" s="1" nd="1"/>
        <i x="108" s="1" nd="1"/>
        <i x="268" s="1" nd="1"/>
        <i x="111" s="1" nd="1"/>
        <i x="157" s="1" nd="1"/>
        <i x="238" s="1" nd="1"/>
        <i x="241" s="1" nd="1"/>
        <i x="254" s="1" nd="1"/>
        <i x="265" s="1" nd="1"/>
        <i x="122" s="1" nd="1"/>
        <i x="235" s="1" nd="1"/>
        <i x="264" s="1" nd="1"/>
        <i x="228" s="1" nd="1"/>
        <i x="237" s="1" nd="1"/>
        <i x="166" s="1" nd="1"/>
        <i x="117" s="1" nd="1"/>
        <i x="292" s="1" nd="1"/>
        <i x="197" s="1" nd="1"/>
        <i x="221" s="1" nd="1"/>
        <i x="125" s="1" nd="1"/>
        <i x="148" s="1" nd="1"/>
        <i x="189" s="1" nd="1"/>
        <i x="164" s="1" nd="1"/>
        <i x="324" s="1" nd="1"/>
        <i x="282" s="1" nd="1"/>
        <i x="132" s="1" nd="1"/>
        <i x="285" s="1" nd="1"/>
        <i x="191" s="1" nd="1"/>
        <i x="156" s="1" nd="1"/>
        <i x="329" s="1" nd="1"/>
        <i x="170" s="1" nd="1"/>
        <i x="193" s="1" nd="1"/>
        <i x="257" s="1" nd="1"/>
        <i x="174" s="1" nd="1"/>
        <i x="223" s="1" nd="1"/>
        <i x="142" s="1" nd="1"/>
        <i x="207" s="1" nd="1"/>
        <i x="201" s="1" nd="1"/>
        <i x="312" s="1" nd="1"/>
        <i x="211" s="1" nd="1"/>
        <i x="130" s="1" nd="1"/>
        <i x="151" s="1" nd="1"/>
        <i x="252" s="1" nd="1"/>
        <i x="303" s="1" nd="1"/>
        <i x="296" s="1" nd="1"/>
        <i x="260" s="1" nd="1"/>
        <i x="307" s="1" nd="1"/>
        <i x="177" s="1" nd="1"/>
        <i x="154" s="1" nd="1"/>
        <i x="308" s="1" nd="1"/>
        <i x="172" s="1" nd="1"/>
        <i x="294" s="1" nd="1"/>
        <i x="232" s="1" nd="1"/>
        <i x="261" s="1" nd="1"/>
        <i x="224" s="1" nd="1"/>
        <i x="242" s="1" nd="1"/>
        <i x="218" s="1" nd="1"/>
        <i x="274" s="1" nd="1"/>
        <i x="12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smgarzon/Documents/Actas%20de%20liquidaci&#243;n%20aprobados/2018/180083-%20JAVIER%20AVENDA&#209;O.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smgarzon/Documents/Actas%20de%20liquidaci&#243;n%20aprobados/2008-2012/120000-125-0-2012%20-%20REVISTA%20EL%20CONGRES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smgarzon/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smgarzon/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40" Type="http://schemas.openxmlformats.org/officeDocument/2006/relationships/hyperlink" Target="file:///\\cbprint\..\..\..\..\..\..\..\..\Documents\Actas%20de%20liquidaci&#243;n%20aprobados\LIQUIDACIONES%202015\170114-%20KHAANKO%20RUIZ.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17" Type="http://schemas.openxmlformats.org/officeDocument/2006/relationships/hyperlink" Target="../../smgarzon/Documents/Actas%20de%20liquidaci&#243;n%20aprobados/2016/160238-%20LA%20UNIDAD.pdf" TargetMode="External"/><Relationship Id="rId338" Type="http://schemas.openxmlformats.org/officeDocument/2006/relationships/hyperlink" Target="https://www.colombiacompra.gov.co/sites/cce_public/files/documentos_adicionales_oc/informe_final_de_supervision_cto_170337-0-2017.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28" Type="http://schemas.openxmlformats.org/officeDocument/2006/relationships/hyperlink" Target="../../smgarzon/Documents/Actas%20de%20liquidaci&#243;n%20aprobados/2017/170056-%20SOLUCIONES%20H%20&amp;%20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318" Type="http://schemas.openxmlformats.org/officeDocument/2006/relationships/hyperlink" Target="../../smgarzon/Documents/Actas%20de%20liquidaci&#243;n%20aprobados/2015/150400-%20CENTURY%20MEDIA.pdf" TargetMode="External"/><Relationship Id="rId339" Type="http://schemas.openxmlformats.org/officeDocument/2006/relationships/hyperlink" Target="../../smgarzon/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329" Type="http://schemas.openxmlformats.org/officeDocument/2006/relationships/hyperlink" Target="../../smgarzon/Documents/Actas%20de%20liquidaci&#243;n%20aprobados/2016/160255-%20INTERAMERICANA%20DE%20SISTEMAS.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smgarzon/Documents/Actas%20de%20liquidaci&#243;n%20aprobados/2008-2012/120000-177-0-2012%20CANAL%20CAPITAL.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smgarzon/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330" Type="http://schemas.openxmlformats.org/officeDocument/2006/relationships/hyperlink" Target="../../smgarzon/Documents/Actas%20de%20liquidaci&#243;n%20aprobados/2015/150141-%20MIGUEL%20ANDRES%20GUTIERREZ.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smgarzon/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smgarzon/Documents/Actas%20de%20liquidaci&#243;n%20aprobados/2008-2012/050000-427-0-2012.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smgarzon/Documents/Actas%20de%20liquidaci&#243;n%20aprobados/2015/150271-%20IDPC.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smgarzon/Documents/Actas%20de%20liquidaci&#243;n%20aprobados/2016/160287-%20ALMACENES%20EXITO.pdf" TargetMode="External"/><Relationship Id="rId342" Type="http://schemas.openxmlformats.org/officeDocument/2006/relationships/printerSettings" Target="../printerSettings/printerSettings15.bin"/><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smgarzon/Documents/Actas%20de%20liquidaci&#243;n%20aprobados/2015/150302-%20AXA%20COLPATRIA.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smgarzon/Documents/Actas%20de%20liquidaci&#243;n%20aprobados/2016/160304-%20COLSOF.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smgarzon/Documents/Actas%20de%20liquidaci&#243;n%20aprobados/2013/130209-%20LA%20UNIDAD.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smgarzon/Documents/Actas%20de%20liquidaci&#243;n%20aprobados/2017/170002-%20UNP.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smgarzon/Documents/Actas%20de%20liquidaci&#243;n%20aprobados/2008-2012/120000-416-0-2012-%20COD.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smgarzon/Documents/Actas%20de%20liquidaci&#243;n%20aprobados/2015/150386-%20ALMACENES%20EXITO.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smgarzon/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smgarzon/Documents/Actas%20de%20liquidaci&#243;n%20aprobados/2014/140168-%20JORGE%20TRUJILLO.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2-1311625"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ntratos.gov.co/consultas/detalleProceso.do?numConstancia=12-13-120815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5643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8904"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22" Type="http://schemas.openxmlformats.org/officeDocument/2006/relationships/hyperlink" Target="https://www.colombiacompra.gov.co/tienda-virtual-del-estado-colombiano/ordenes-compra/30874"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lombiacompra.gov.co/tienda-virtual-del-estado-colombiano/ordenes-compra/24099" TargetMode="External"/><Relationship Id="rId466" Type="http://schemas.openxmlformats.org/officeDocument/2006/relationships/hyperlink" Target="https://www.contratos.gov.co/consultas/detalleProceso.do?numConstancia=12-9-360824"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2-13-1134800"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53977" TargetMode="External"/><Relationship Id="rId477" Type="http://schemas.openxmlformats.org/officeDocument/2006/relationships/hyperlink" Target="https://www.contratos.gov.co/consultas/detalleProceso.do?numConstancia=13-9-374682"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44" Type="http://schemas.openxmlformats.org/officeDocument/2006/relationships/drawing" Target="../drawings/drawing5.xm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446" Type="http://schemas.openxmlformats.org/officeDocument/2006/relationships/hyperlink" Target="https://www.contratos.gov.co/consultas/detalleProceso.do?numConstancia=18-13-7968668"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88" Type="http://schemas.openxmlformats.org/officeDocument/2006/relationships/hyperlink" Target="https://www.contratos.gov.co/consultas/detalleProceso.do?numConstancia=18-12-8175359"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13" Type="http://schemas.openxmlformats.org/officeDocument/2006/relationships/hyperlink" Target="https://www.contratos.gov.co/consultas/detalleProceso.do?numConstancia=18-9-444969"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457" Type="http://schemas.openxmlformats.org/officeDocument/2006/relationships/hyperlink" Target="https://www.contratos.gov.co/consultas/detalleProceso.do?numConstancia=13-13-1591051"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524" Type="http://schemas.openxmlformats.org/officeDocument/2006/relationships/hyperlink" Target="https://community.secop.gov.co/Public/Tendering/ContractNoticeManagement/Index?currentLanguage=es-CO&amp;Page=login&amp;Country=CO&amp;SkinName=CCE"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7-11-7341580"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8-13-8034276"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2-11-1062437"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61864" TargetMode="External"/><Relationship Id="rId479" Type="http://schemas.openxmlformats.org/officeDocument/2006/relationships/hyperlink" Target="https://www.contratos.gov.co/consultas/detalleProceso.do?numConstancia=11-13-72682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490" Type="http://schemas.openxmlformats.org/officeDocument/2006/relationships/hyperlink" Target="https://www.contratos.gov.co/consultas/detalleProceso.do?numConstancia=18-9-445048"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546" Type="http://schemas.openxmlformats.org/officeDocument/2006/relationships/comments" Target="../comments1.xm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69790"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21844" TargetMode="External"/><Relationship Id="rId448" Type="http://schemas.openxmlformats.org/officeDocument/2006/relationships/hyperlink" Target="https://www.contratos.gov.co/consultas/detalleProceso.do?numConstancia=18-13-7966473"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www.colombiacompra.gov.co/tienda-virtual-del-estado-colombiano/ordenes-compra/30559"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459" Type="http://schemas.openxmlformats.org/officeDocument/2006/relationships/hyperlink" Target="https://www.colombiacompra.gov.co/tienda-virtual-del-estado-colombiano/ordenes-compra/19093"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470" Type="http://schemas.openxmlformats.org/officeDocument/2006/relationships/hyperlink" Target="https://www.contratos.gov.co/consultas/detalleProceso.do?numConstancia=13-12-1727613"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8024"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18614"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37" Type="http://schemas.openxmlformats.org/officeDocument/2006/relationships/hyperlink" Target="https://www.contratos.gov.co/consultas/detalleProceso.do?numConstancia=12-12-913588"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58646"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189158" TargetMode="External"/><Relationship Id="rId506" Type="http://schemas.openxmlformats.org/officeDocument/2006/relationships/hyperlink" Target="https://community.secop.gov.co/Public/Tendering/ContractNoticeManagement/Index?currentLanguage=es-CO&amp;Page=login&amp;Country=CO&amp;SkinName=CCE"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8-13-8070583"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03265"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2-13-1130169" TargetMode="External"/><Relationship Id="rId528" Type="http://schemas.openxmlformats.org/officeDocument/2006/relationships/hyperlink" Target="https://community.secop.gov.co/Public/Tendering/ContractNoticeManagement/Index?currentLanguage=es-CO&amp;Page=login&amp;Country=CO&amp;SkinName=CCE"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65890" TargetMode="External"/><Relationship Id="rId483" Type="http://schemas.openxmlformats.org/officeDocument/2006/relationships/hyperlink" Target="https://www.contratos.gov.co/consultas/detalleProceso.do?numConstancia=18-13-8093396" TargetMode="External"/><Relationship Id="rId539" Type="http://schemas.openxmlformats.org/officeDocument/2006/relationships/hyperlink" Target="https://www.contratos.gov.co/consultas/detalleProceso.do?numConstancia=12-12-1168091"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lombiacompra.gov.co/tienda-virtual-del-estado-colombiano/ordenes-compra/28271"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3-9-376892"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13910" TargetMode="External"/><Relationship Id="rId474" Type="http://schemas.openxmlformats.org/officeDocument/2006/relationships/hyperlink" Target="https://www.contratos.gov.co/consultas/detalleProceso.do?numConstancia=13-4-202058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2-1194315"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ntratos.gov.co/consultas/detalleProceso.do?numConstancia=18-12-7765130"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60979"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7321"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community.secop.gov.co/Public/Tendering/ContractNoticeManagement/Index?currentLanguage=es-CO&amp;Page=login&amp;Country=CO&amp;SkinName=CCE"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8-13-8091768"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community.secop.gov.co/Public/Tendering/ContractNoticeManagement/Index?currentLanguage=es-CO&amp;Page=login&amp;Country=CO&amp;SkinName=CCE"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63111" TargetMode="External"/><Relationship Id="rId476" Type="http://schemas.openxmlformats.org/officeDocument/2006/relationships/hyperlink" Target="https://www.contratos.gov.co/consultas/detalleProceso.do?numConstancia=12-1-78985"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printerSettings" Target="../printerSettings/printerSettings4.bin"/><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9-441338" TargetMode="External"/><Relationship Id="rId487" Type="http://schemas.openxmlformats.org/officeDocument/2006/relationships/hyperlink" Target="https://www.contratos.gov.co/consultas/detalleProceso.do?numConstancia=18-13-817448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community.secop.gov.co/Public/Tendering/ContractNoticeManagement/Index?currentLanguage=es-CO&amp;Page=login&amp;Country=CO&amp;SkinName=CCE"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926674"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www.contratos.gov.co/consultas/detalleProceso.do?numConstancia=18-9-446292"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5-12-3272948" TargetMode="External"/><Relationship Id="rId467" Type="http://schemas.openxmlformats.org/officeDocument/2006/relationships/hyperlink" Target="https://www.contratos.gov.co/consultas/detalleProceso.do?numConstancia=13-12-1727328"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3-13-1890844"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26389"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2-13-1333245"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vmlDrawing" Target="../drawings/vmlDrawing1.vm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8002768"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12-817615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2-12-98677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www.contratos.gov.co/consultas/detalleProceso.do?numConstancia=18-12-8176034"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7686" TargetMode="External"/><Relationship Id="rId469" Type="http://schemas.openxmlformats.org/officeDocument/2006/relationships/hyperlink" Target="https://www.contratos.gov.co/consultas/detalleProceso.do?numConstancia=13-13-1608949"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1-13-650884" TargetMode="External"/><Relationship Id="rId536" Type="http://schemas.openxmlformats.org/officeDocument/2006/relationships/hyperlink" Target="https://www.contratos.gov.co/consultas/detalleProceso.do?numConstancia=13-12-1779917"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480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3-8039247"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189395"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3-12-1911131"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lombiacompra.gov.co/tienda-virtual-del-estado-colombiano/ordenes-compra/24613"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lombiacompra.gov.co/tienda-virtual-del-estado-colombiano/ordenes-compra/24917/1"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146836" TargetMode="External"/><Relationship Id="rId538" Type="http://schemas.openxmlformats.org/officeDocument/2006/relationships/hyperlink" Target="https://www.contratos.gov.co/consultas/detalleProceso.do?numConstancia=14-12-3024698"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4786"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www.contratos.gov.co/consultas/detalleProceso.do?numConstancia=18-13-8170596"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4-13-2687480"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24174" TargetMode="External"/><Relationship Id="rId473" Type="http://schemas.openxmlformats.org/officeDocument/2006/relationships/hyperlink" Target="https://www.contratos.gov.co/consultas/detalleProceso.do?numConstancia=13-11-1494840" TargetMode="External"/><Relationship Id="rId529" Type="http://schemas.openxmlformats.org/officeDocument/2006/relationships/hyperlink" Target="https://www.contratos.gov.co/consultas/detalleProceso.do?numConstancia=18-12-817602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958931"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3-7884222" TargetMode="External"/><Relationship Id="rId484" Type="http://schemas.openxmlformats.org/officeDocument/2006/relationships/hyperlink" Target="https://www.contratos.gov.co/consultas/detalleProceso.do?numConstancia=18-12-8176085"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43339"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2-13-1072820"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8244"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lombiacompra.gov.co/tienda-virtual-del-estado-colombiano/ordenes-compra/26881"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70" t="s">
        <v>411</v>
      </c>
      <c r="H4" s="1071"/>
      <c r="I4" s="1071"/>
      <c r="J4" s="1071"/>
      <c r="K4" s="1071"/>
      <c r="L4" s="1071"/>
      <c r="M4" s="1071"/>
      <c r="N4" s="1072"/>
      <c r="O4" s="195"/>
      <c r="P4" s="196"/>
      <c r="Q4" s="195"/>
      <c r="R4" s="198"/>
      <c r="S4" s="198"/>
      <c r="T4" s="195"/>
      <c r="U4" s="196"/>
      <c r="V4" s="195"/>
    </row>
    <row r="5" spans="1:22" customFormat="1" ht="16.5" thickTop="1" thickBot="1" x14ac:dyDescent="0.3">
      <c r="A5" s="195"/>
      <c r="B5" s="196"/>
      <c r="C5" s="195"/>
      <c r="D5" s="195"/>
      <c r="E5" s="196"/>
      <c r="F5" s="197"/>
      <c r="G5" s="1073"/>
      <c r="H5" s="1074"/>
      <c r="I5" s="1074"/>
      <c r="J5" s="1074"/>
      <c r="K5" s="1074"/>
      <c r="L5" s="1074"/>
      <c r="M5" s="1074"/>
      <c r="N5" s="1075"/>
      <c r="O5" s="195"/>
      <c r="P5" s="196"/>
      <c r="Q5" s="197"/>
      <c r="R5" s="199" t="s">
        <v>407</v>
      </c>
      <c r="S5" s="200">
        <f ca="1">TODAY()</f>
        <v>43383</v>
      </c>
      <c r="T5" s="195"/>
      <c r="U5" s="196"/>
      <c r="V5" s="195"/>
    </row>
    <row r="6" spans="1:22" customFormat="1" ht="15.75" thickTop="1" x14ac:dyDescent="0.25">
      <c r="A6" s="195"/>
      <c r="B6" s="196"/>
      <c r="C6" s="195"/>
      <c r="D6" s="195"/>
      <c r="E6" s="196"/>
      <c r="F6" s="197"/>
      <c r="G6" s="1073"/>
      <c r="H6" s="1074"/>
      <c r="I6" s="1074"/>
      <c r="J6" s="1074"/>
      <c r="K6" s="1074"/>
      <c r="L6" s="1074"/>
      <c r="M6" s="1074"/>
      <c r="N6" s="1075"/>
      <c r="O6" s="195"/>
      <c r="P6" s="196"/>
      <c r="Q6" s="197"/>
      <c r="R6" s="1065" t="s">
        <v>408</v>
      </c>
      <c r="S6" s="1067">
        <v>43378</v>
      </c>
      <c r="T6" s="195"/>
      <c r="U6" s="196"/>
      <c r="V6" s="195"/>
    </row>
    <row r="7" spans="1:22" customFormat="1" ht="15.75" thickBot="1" x14ac:dyDescent="0.3">
      <c r="A7" s="195"/>
      <c r="B7" s="196"/>
      <c r="C7" s="195"/>
      <c r="D7" s="195"/>
      <c r="E7" s="196"/>
      <c r="F7" s="197"/>
      <c r="G7" s="1073" t="s">
        <v>412</v>
      </c>
      <c r="H7" s="1074"/>
      <c r="I7" s="1074"/>
      <c r="J7" s="1074"/>
      <c r="K7" s="1074"/>
      <c r="L7" s="1074"/>
      <c r="M7" s="1074"/>
      <c r="N7" s="1075"/>
      <c r="O7" s="195"/>
      <c r="P7" s="196"/>
      <c r="Q7" s="197"/>
      <c r="R7" s="1066"/>
      <c r="S7" s="1068"/>
      <c r="T7" s="195"/>
      <c r="U7" s="196"/>
      <c r="V7" s="195"/>
    </row>
    <row r="8" spans="1:22" customFormat="1" ht="16.5" thickTop="1" thickBot="1" x14ac:dyDescent="0.3">
      <c r="A8" s="195"/>
      <c r="B8" s="196"/>
      <c r="C8" s="195"/>
      <c r="D8" s="195"/>
      <c r="E8" s="196"/>
      <c r="F8" s="197"/>
      <c r="G8" s="1073"/>
      <c r="H8" s="1074"/>
      <c r="I8" s="1074"/>
      <c r="J8" s="1074"/>
      <c r="K8" s="1074"/>
      <c r="L8" s="1074"/>
      <c r="M8" s="1074"/>
      <c r="N8" s="1075"/>
      <c r="O8" s="195"/>
      <c r="P8" s="196"/>
      <c r="Q8" s="197"/>
      <c r="R8" s="199" t="s">
        <v>409</v>
      </c>
      <c r="S8" s="201">
        <f ca="1">S5-S6</f>
        <v>5</v>
      </c>
      <c r="T8" s="195"/>
      <c r="U8" s="196"/>
      <c r="V8" s="195"/>
    </row>
    <row r="9" spans="1:22" customFormat="1" ht="8.25" customHeight="1" thickTop="1" x14ac:dyDescent="0.25">
      <c r="A9" s="195"/>
      <c r="B9" s="196"/>
      <c r="C9" s="195"/>
      <c r="D9" s="195"/>
      <c r="E9" s="196"/>
      <c r="F9" s="197"/>
      <c r="G9" s="1073"/>
      <c r="H9" s="1074"/>
      <c r="I9" s="1074"/>
      <c r="J9" s="1074"/>
      <c r="K9" s="1074"/>
      <c r="L9" s="1074"/>
      <c r="M9" s="1074"/>
      <c r="N9" s="1075"/>
      <c r="O9" s="195"/>
      <c r="P9" s="196"/>
      <c r="Q9" s="195"/>
      <c r="R9" s="195"/>
      <c r="S9" s="195"/>
      <c r="T9" s="195"/>
      <c r="U9" s="196"/>
      <c r="V9" s="195"/>
    </row>
    <row r="10" spans="1:22" customFormat="1" ht="6.75" customHeight="1" thickBot="1" x14ac:dyDescent="0.3">
      <c r="A10" s="195"/>
      <c r="B10" s="196"/>
      <c r="C10" s="196"/>
      <c r="D10" s="196"/>
      <c r="E10" s="196"/>
      <c r="F10" s="197"/>
      <c r="G10" s="1076"/>
      <c r="H10" s="1077"/>
      <c r="I10" s="1077"/>
      <c r="J10" s="1077"/>
      <c r="K10" s="1077"/>
      <c r="L10" s="1077"/>
      <c r="M10" s="1077"/>
      <c r="N10" s="1078"/>
      <c r="O10" s="195"/>
      <c r="P10" s="196"/>
      <c r="Q10" s="195"/>
      <c r="R10" s="195"/>
      <c r="S10" s="195"/>
      <c r="T10" s="195"/>
      <c r="U10" s="196"/>
      <c r="V10" s="195"/>
    </row>
    <row r="11" spans="1:22" customFormat="1" ht="16.5" thickTop="1" x14ac:dyDescent="0.25">
      <c r="A11" s="195"/>
      <c r="B11" s="196"/>
      <c r="C11" s="1064" t="s">
        <v>406</v>
      </c>
      <c r="D11" s="1064"/>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69" t="s">
        <v>410</v>
      </c>
      <c r="D15" s="1069"/>
      <c r="E15" s="1069"/>
      <c r="F15" s="1069"/>
      <c r="G15" s="1069"/>
      <c r="H15" s="1069"/>
      <c r="I15" s="1069"/>
      <c r="J15" s="1069"/>
      <c r="K15" s="1069"/>
      <c r="L15" s="1069"/>
      <c r="M15" s="1069"/>
      <c r="N15" s="1069"/>
      <c r="O15" s="1069"/>
      <c r="P15" s="1069"/>
      <c r="Q15" s="1069"/>
      <c r="R15" s="1069"/>
      <c r="S15" s="1069"/>
      <c r="T15" s="1069"/>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32" t="s">
        <v>0</v>
      </c>
      <c r="C1" s="1134" t="s">
        <v>1</v>
      </c>
      <c r="D1" s="1136" t="s">
        <v>1238</v>
      </c>
      <c r="E1" s="1136"/>
      <c r="F1" s="1136"/>
      <c r="G1" s="1136"/>
      <c r="H1" s="1136"/>
      <c r="I1" s="1136" t="s">
        <v>1240</v>
      </c>
      <c r="J1" s="1136"/>
      <c r="K1" s="1136"/>
      <c r="L1" s="1136"/>
      <c r="M1" s="1136"/>
      <c r="N1" s="1136"/>
      <c r="O1" s="215">
        <f ca="1">TODAY()</f>
        <v>43383</v>
      </c>
      <c r="P1" s="1140" t="s">
        <v>1458</v>
      </c>
      <c r="Q1" s="1140"/>
      <c r="R1" s="1140"/>
      <c r="S1" s="1140"/>
      <c r="T1" s="1140"/>
      <c r="U1" s="1140"/>
      <c r="V1" s="1140"/>
      <c r="W1" s="1140"/>
      <c r="X1" s="1140"/>
      <c r="Y1" s="1140"/>
      <c r="Z1" s="1140"/>
      <c r="AA1" s="1140"/>
      <c r="AB1" s="1139" t="s">
        <v>1457</v>
      </c>
      <c r="AC1" s="1139"/>
      <c r="AD1" s="1139"/>
      <c r="AE1" s="1139"/>
      <c r="AF1" s="1139"/>
      <c r="AG1" s="1139"/>
      <c r="AH1" s="1139"/>
      <c r="AI1" s="1139"/>
      <c r="AJ1" s="1139"/>
      <c r="AK1" s="1139"/>
      <c r="AL1" s="1139"/>
      <c r="AM1" s="1139"/>
      <c r="AN1" s="1137" t="s">
        <v>1271</v>
      </c>
      <c r="AO1" s="1137"/>
      <c r="AP1" s="1137"/>
      <c r="AQ1" s="1137"/>
      <c r="AR1" s="1137"/>
      <c r="AS1" s="1137"/>
      <c r="AT1" s="1137"/>
      <c r="AU1" s="1137"/>
      <c r="AV1" s="1137"/>
      <c r="AW1" s="1137"/>
      <c r="AX1" s="1137"/>
      <c r="AY1" s="1137"/>
    </row>
    <row r="2" spans="1:51" ht="33.75" x14ac:dyDescent="0.25">
      <c r="B2" s="1133"/>
      <c r="C2" s="1135"/>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38">
        <v>2012</v>
      </c>
      <c r="AI276" s="1138"/>
      <c r="AK276" s="1138">
        <v>2013</v>
      </c>
      <c r="AL276" s="1138"/>
      <c r="AN276" s="1138">
        <v>2014</v>
      </c>
      <c r="AO276" s="1138"/>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42" t="s">
        <v>387</v>
      </c>
      <c r="C2" s="1143"/>
      <c r="D2" s="1143"/>
      <c r="E2" s="1143"/>
      <c r="F2" s="1143"/>
      <c r="G2" s="1143"/>
      <c r="H2" s="1143"/>
      <c r="I2" s="1143"/>
      <c r="J2" s="1143"/>
      <c r="K2" s="1143"/>
      <c r="L2" s="1143"/>
      <c r="M2" s="1143"/>
      <c r="N2" s="1143"/>
      <c r="O2" s="1143"/>
      <c r="P2" s="1143"/>
      <c r="Q2" s="1143"/>
      <c r="R2" s="1143"/>
      <c r="S2" s="1143"/>
      <c r="T2" s="1143"/>
      <c r="U2" s="1144"/>
      <c r="V2" s="330"/>
    </row>
    <row r="3" spans="1:29" ht="18.75" thickBot="1" x14ac:dyDescent="0.3">
      <c r="A3" s="355"/>
      <c r="B3" s="1145" t="s">
        <v>1455</v>
      </c>
      <c r="C3" s="1146"/>
      <c r="D3" s="1146"/>
      <c r="E3" s="1146"/>
      <c r="F3" s="1146"/>
      <c r="G3" s="1146"/>
      <c r="H3" s="1146"/>
      <c r="I3" s="1146"/>
      <c r="J3" s="1146"/>
      <c r="K3" s="1146"/>
      <c r="L3" s="1146"/>
      <c r="M3" s="1146"/>
      <c r="N3" s="1146"/>
      <c r="O3" s="1146"/>
      <c r="P3" s="1146"/>
      <c r="Q3" s="1146"/>
      <c r="R3" s="1146"/>
      <c r="S3" s="1146"/>
      <c r="T3" s="1146"/>
      <c r="U3" s="1147"/>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43383</v>
      </c>
      <c r="D5" s="331"/>
      <c r="E5" s="330"/>
      <c r="F5" s="330"/>
      <c r="G5" s="330"/>
      <c r="H5" s="331"/>
      <c r="I5" s="1141" t="s">
        <v>1448</v>
      </c>
      <c r="J5" s="1141"/>
      <c r="K5" s="1141" t="s">
        <v>970</v>
      </c>
      <c r="L5" s="1141"/>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1710</v>
      </c>
      <c r="Q7" s="403">
        <f ca="1">IF(P7=0,"",(P7*100%)/120)</f>
        <v>14.25</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1897</v>
      </c>
      <c r="Q8" s="403">
        <f t="shared" ref="Q8:Q71" ca="1" si="6">IF(P8=0,"",(P8*100%)/120)</f>
        <v>15.808333333333334</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1907</v>
      </c>
      <c r="Q9" s="403">
        <f t="shared" ca="1" si="6"/>
        <v>15.891666666666667</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2060</v>
      </c>
      <c r="Q10" s="403">
        <f t="shared" ca="1" si="6"/>
        <v>17.166666666666668</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2047</v>
      </c>
      <c r="Q11" s="403">
        <f t="shared" ca="1" si="6"/>
        <v>17.058333333333334</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2051</v>
      </c>
      <c r="Q12" s="403">
        <f t="shared" ca="1" si="6"/>
        <v>17.091666666666665</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2013</v>
      </c>
      <c r="Q13" s="403">
        <f t="shared" ca="1" si="6"/>
        <v>16.774999999999999</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2271</v>
      </c>
      <c r="Q14" s="403">
        <f t="shared" ca="1" si="6"/>
        <v>18.925000000000001</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2027</v>
      </c>
      <c r="Q15" s="403">
        <f t="shared" ca="1" si="6"/>
        <v>16.891666666666666</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2019</v>
      </c>
      <c r="Q16" s="403">
        <f t="shared" ca="1" si="6"/>
        <v>16.824999999999999</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2021</v>
      </c>
      <c r="Q17" s="403">
        <f t="shared" ca="1" si="6"/>
        <v>16.841666666666665</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2060</v>
      </c>
      <c r="Q18" s="403">
        <f t="shared" ca="1" si="6"/>
        <v>17.166666666666668</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2461</v>
      </c>
      <c r="Q19" s="403">
        <f t="shared" ca="1" si="6"/>
        <v>20.508333333333333</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2140</v>
      </c>
      <c r="Q20" s="403">
        <f t="shared" ca="1" si="6"/>
        <v>17.833333333333332</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2071</v>
      </c>
      <c r="Q21" s="403">
        <f t="shared" ca="1" si="6"/>
        <v>17.258333333333333</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1870</v>
      </c>
      <c r="Q22" s="403">
        <f t="shared" ca="1" si="6"/>
        <v>15.583333333333334</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2109</v>
      </c>
      <c r="Q23" s="403">
        <f t="shared" ca="1" si="6"/>
        <v>17.574999999999999</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1774</v>
      </c>
      <c r="Q24" s="403">
        <f t="shared" ca="1" si="6"/>
        <v>14.783333333333333</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1760</v>
      </c>
      <c r="Q25" s="403">
        <f t="shared" ca="1" si="6"/>
        <v>14.666666666666666</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2036</v>
      </c>
      <c r="Q26" s="403">
        <f t="shared" ca="1" si="6"/>
        <v>16.966666666666665</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2105</v>
      </c>
      <c r="Q27" s="403">
        <f t="shared" ca="1" si="6"/>
        <v>17.541666666666668</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1974</v>
      </c>
      <c r="Q28" s="403">
        <f t="shared" ca="1" si="6"/>
        <v>16.45</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2050</v>
      </c>
      <c r="Q29" s="403">
        <f t="shared" ca="1" si="6"/>
        <v>17.083333333333332</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2055</v>
      </c>
      <c r="Q30" s="403">
        <f t="shared" ca="1" si="6"/>
        <v>17.125</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2034</v>
      </c>
      <c r="Q31" s="403">
        <f t="shared" ca="1" si="6"/>
        <v>16.95</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100321355</v>
      </c>
      <c r="I32" s="328" t="str">
        <f>IF(VLOOKUP(B32,'Base de Datos'!$E$7:$S$303,11,0),"SI","NO")</f>
        <v>SI</v>
      </c>
      <c r="J32" s="329">
        <f t="shared" si="0"/>
        <v>0</v>
      </c>
      <c r="K32" s="328" t="str">
        <f>IF(VLOOKUP(B32,'Base de Datos'!$E$7:$S$303,11,0),"SI","NO")</f>
        <v>SI</v>
      </c>
      <c r="L32" s="329">
        <f t="shared" si="1"/>
        <v>0.17721816731010689</v>
      </c>
      <c r="M32" s="329">
        <f>VLOOKUP(B32,'Base de Datos'!$E$7:$Z$303,21,0)</f>
        <v>0.95016016280880577</v>
      </c>
      <c r="N32" s="391" t="str">
        <f t="shared" ca="1" si="5"/>
        <v/>
      </c>
      <c r="O32" s="329">
        <f ca="1">VLOOKUP(B32,'Base de Datos'!$E$7:$Z$303,22,0)</f>
        <v>1</v>
      </c>
      <c r="P32" s="390">
        <f t="shared" ca="1" si="2"/>
        <v>1852</v>
      </c>
      <c r="Q32" s="403">
        <f t="shared" ca="1" si="6"/>
        <v>15.433333333333334</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1760</v>
      </c>
      <c r="Q33" s="403">
        <f t="shared" ca="1" si="6"/>
        <v>14.666666666666666</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1856</v>
      </c>
      <c r="Q34" s="403">
        <f t="shared" ca="1" si="6"/>
        <v>15.466666666666667</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1853</v>
      </c>
      <c r="Q35" s="403">
        <f t="shared" ca="1" si="6"/>
        <v>15.441666666666666</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1838</v>
      </c>
      <c r="Q36" s="403">
        <f t="shared" ca="1" si="6"/>
        <v>15.316666666666666</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2037</v>
      </c>
      <c r="Q37" s="403">
        <f t="shared" ca="1" si="6"/>
        <v>16.975000000000001</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2050</v>
      </c>
      <c r="Q38" s="403">
        <f t="shared" ca="1" si="6"/>
        <v>17.083333333333332</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2016</v>
      </c>
      <c r="Q39" s="403">
        <f t="shared" ca="1" si="6"/>
        <v>16.8</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1757</v>
      </c>
      <c r="Q40" s="403">
        <f t="shared" ca="1" si="6"/>
        <v>14.641666666666667</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1931</v>
      </c>
      <c r="Q41" s="403">
        <f t="shared" ca="1" si="6"/>
        <v>16.091666666666665</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2040</v>
      </c>
      <c r="Q42" s="403">
        <f t="shared" ca="1" si="6"/>
        <v>17</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2120</v>
      </c>
      <c r="Q43" s="403">
        <f t="shared" ca="1" si="6"/>
        <v>17.666666666666668</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1996</v>
      </c>
      <c r="Q44" s="403">
        <f t="shared" ca="1" si="6"/>
        <v>16.633333333333333</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2014</v>
      </c>
      <c r="Q45" s="403">
        <f t="shared" ca="1" si="6"/>
        <v>16.783333333333335</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2075</v>
      </c>
      <c r="Q46" s="403">
        <f t="shared" ca="1" si="6"/>
        <v>17.291666666666668</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1931</v>
      </c>
      <c r="Q47" s="403">
        <f t="shared" ca="1" si="6"/>
        <v>16.091666666666665</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2033</v>
      </c>
      <c r="Q48" s="403">
        <f t="shared" ca="1" si="6"/>
        <v>16.941666666666666</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1911</v>
      </c>
      <c r="Q49" s="403">
        <f t="shared" ca="1" si="6"/>
        <v>15.925000000000001</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1985</v>
      </c>
      <c r="Q50" s="403">
        <f t="shared" ca="1" si="6"/>
        <v>16.541666666666668</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1983</v>
      </c>
      <c r="Q51" s="403">
        <f t="shared" ca="1" si="6"/>
        <v>16.524999999999999</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2170</v>
      </c>
      <c r="Q52" s="403">
        <f t="shared" ca="1" si="6"/>
        <v>18.083333333333332</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1912</v>
      </c>
      <c r="Q53" s="403">
        <f t="shared" ca="1" si="6"/>
        <v>15.933333333333334</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1836</v>
      </c>
      <c r="Q54" s="403">
        <f t="shared" ca="1" si="6"/>
        <v>15.3</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1925</v>
      </c>
      <c r="Q55" s="403">
        <f t="shared" ca="1" si="6"/>
        <v>16.041666666666668</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1938</v>
      </c>
      <c r="Q56" s="403">
        <f t="shared" ca="1" si="6"/>
        <v>16.149999999999999</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1969</v>
      </c>
      <c r="Q57" s="403">
        <f t="shared" ca="1" si="6"/>
        <v>16.408333333333335</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1958</v>
      </c>
      <c r="Q58" s="403">
        <f t="shared" ca="1" si="6"/>
        <v>16.316666666666666</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1974</v>
      </c>
      <c r="Q59" s="403">
        <f t="shared" ca="1" si="6"/>
        <v>16.45</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1942</v>
      </c>
      <c r="Q60" s="403">
        <f t="shared" ca="1" si="6"/>
        <v>16.183333333333334</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1942</v>
      </c>
      <c r="Q61" s="403">
        <f t="shared" ca="1" si="6"/>
        <v>16.183333333333334</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1897</v>
      </c>
      <c r="Q62" s="403">
        <f t="shared" ca="1" si="6"/>
        <v>15.808333333333334</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1971</v>
      </c>
      <c r="Q63" s="403">
        <f t="shared" ca="1" si="6"/>
        <v>16.425000000000001</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2071</v>
      </c>
      <c r="Q64" s="403">
        <f t="shared" ca="1" si="6"/>
        <v>17.258333333333333</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1902</v>
      </c>
      <c r="Q65" s="403">
        <f t="shared" ca="1" si="6"/>
        <v>15.85</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1825</v>
      </c>
      <c r="Q66" s="403">
        <f t="shared" ca="1" si="6"/>
        <v>15.208333333333334</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1932</v>
      </c>
      <c r="Q67" s="403">
        <f t="shared" ca="1" si="6"/>
        <v>16.100000000000001</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1849</v>
      </c>
      <c r="Q68" s="403">
        <f t="shared" ca="1" si="6"/>
        <v>15.408333333333333</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1993</v>
      </c>
      <c r="Q69" s="403">
        <f t="shared" ca="1" si="6"/>
        <v>16.608333333333334</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1804</v>
      </c>
      <c r="Q70" s="403">
        <f t="shared" ca="1" si="6"/>
        <v>15.033333333333333</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1821</v>
      </c>
      <c r="Q71" s="403">
        <f t="shared" ca="1" si="6"/>
        <v>15.175000000000001</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1937</v>
      </c>
      <c r="Q72" s="403">
        <f t="shared" ref="Q72:Q135" ca="1" si="13">IF(P72=0,"",(P72*100%)/120)</f>
        <v>16.141666666666666</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1931</v>
      </c>
      <c r="Q73" s="403">
        <f t="shared" ca="1" si="13"/>
        <v>16.091666666666665</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1803</v>
      </c>
      <c r="Q74" s="403">
        <f t="shared" ca="1" si="13"/>
        <v>15.025</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2061</v>
      </c>
      <c r="Q75" s="403">
        <f t="shared" ca="1" si="13"/>
        <v>17.175000000000001</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1790</v>
      </c>
      <c r="Q76" s="403">
        <f t="shared" ca="1" si="13"/>
        <v>14.916666666666666</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1808</v>
      </c>
      <c r="Q77" s="403">
        <f t="shared" ca="1" si="13"/>
        <v>15.066666666666666</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1672</v>
      </c>
      <c r="Q78" s="403">
        <f t="shared" ca="1" si="13"/>
        <v>13.933333333333334</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1062</v>
      </c>
      <c r="Q79" s="403">
        <f t="shared" ca="1" si="13"/>
        <v>8.85</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2061</v>
      </c>
      <c r="Q80" s="403">
        <f t="shared" ca="1" si="13"/>
        <v>17.175000000000001</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1647</v>
      </c>
      <c r="Q81" s="403">
        <f t="shared" ca="1" si="13"/>
        <v>13.725</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1924</v>
      </c>
      <c r="Q82" s="403">
        <f t="shared" ca="1" si="13"/>
        <v>16.033333333333335</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1775</v>
      </c>
      <c r="Q83" s="403">
        <f t="shared" ca="1" si="13"/>
        <v>14.791666666666666</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1878</v>
      </c>
      <c r="Q84" s="403">
        <f t="shared" ca="1" si="13"/>
        <v>15.65</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1941</v>
      </c>
      <c r="Q85" s="403">
        <f t="shared" ca="1" si="13"/>
        <v>16.175000000000001</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1703</v>
      </c>
      <c r="Q86" s="403">
        <f t="shared" ca="1" si="13"/>
        <v>14.191666666666666</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1700</v>
      </c>
      <c r="Q87" s="403">
        <f t="shared" ca="1" si="13"/>
        <v>14.166666666666666</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1672</v>
      </c>
      <c r="Q88" s="403">
        <f t="shared" ca="1" si="13"/>
        <v>13.933333333333334</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1731</v>
      </c>
      <c r="Q89" s="403">
        <f t="shared" ca="1" si="13"/>
        <v>14.425000000000001</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1652</v>
      </c>
      <c r="Q90" s="403">
        <f t="shared" ca="1" si="13"/>
        <v>13.766666666666667</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1667</v>
      </c>
      <c r="Q91" s="403">
        <f t="shared" ca="1" si="13"/>
        <v>13.891666666666667</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1619</v>
      </c>
      <c r="Q92" s="403">
        <f t="shared" ca="1" si="13"/>
        <v>13.491666666666667</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1838</v>
      </c>
      <c r="Q93" s="403">
        <f t="shared" ca="1" si="13"/>
        <v>15.316666666666666</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1691</v>
      </c>
      <c r="Q94" s="403">
        <f t="shared" ca="1" si="13"/>
        <v>14.091666666666667</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1684</v>
      </c>
      <c r="Q95" s="403">
        <f t="shared" ca="1" si="13"/>
        <v>14.033333333333333</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1875</v>
      </c>
      <c r="Q96" s="403">
        <f t="shared" ca="1" si="13"/>
        <v>15.625</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1493</v>
      </c>
      <c r="Q97" s="403">
        <f t="shared" ca="1" si="13"/>
        <v>12.441666666666666</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1563</v>
      </c>
      <c r="Q98" s="403">
        <f t="shared" ca="1" si="13"/>
        <v>13.025</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1691</v>
      </c>
      <c r="Q99" s="403">
        <f t="shared" ca="1" si="13"/>
        <v>14.091666666666667</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1723</v>
      </c>
      <c r="Q100" s="403">
        <f t="shared" ca="1" si="13"/>
        <v>14.358333333333333</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1609</v>
      </c>
      <c r="Q101" s="403">
        <f t="shared" ca="1" si="13"/>
        <v>13.408333333333333</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1670</v>
      </c>
      <c r="Q102" s="403">
        <f t="shared" ca="1" si="13"/>
        <v>13.916666666666666</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1685</v>
      </c>
      <c r="Q103" s="403">
        <f t="shared" ca="1" si="13"/>
        <v>14.041666666666666</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1577</v>
      </c>
      <c r="Q104" s="403">
        <f t="shared" ca="1" si="13"/>
        <v>13.141666666666667</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1581</v>
      </c>
      <c r="Q105" s="403">
        <f t="shared" ca="1" si="13"/>
        <v>13.175000000000001</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1486</v>
      </c>
      <c r="Q106" s="403">
        <f t="shared" ca="1" si="13"/>
        <v>12.383333333333333</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1414</v>
      </c>
      <c r="Q107" s="403">
        <f t="shared" ca="1" si="13"/>
        <v>11.783333333333333</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1560</v>
      </c>
      <c r="Q108" s="403">
        <f t="shared" ca="1" si="13"/>
        <v>13</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1563</v>
      </c>
      <c r="Q109" s="403">
        <f t="shared" ca="1" si="13"/>
        <v>13.025</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1723</v>
      </c>
      <c r="Q110" s="403">
        <f t="shared" ca="1" si="13"/>
        <v>14.358333333333333</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1805</v>
      </c>
      <c r="Q111" s="403">
        <f t="shared" ca="1" si="13"/>
        <v>15.041666666666666</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1718</v>
      </c>
      <c r="Q112" s="403">
        <f t="shared" ca="1" si="13"/>
        <v>14.316666666666666</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1716</v>
      </c>
      <c r="Q113" s="403">
        <f t="shared" ca="1" si="13"/>
        <v>14.3</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1882</v>
      </c>
      <c r="Q114" s="403">
        <f t="shared" ca="1" si="13"/>
        <v>15.683333333333334</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1534</v>
      </c>
      <c r="Q115" s="403">
        <f t="shared" ca="1" si="13"/>
        <v>12.783333333333333</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1647</v>
      </c>
      <c r="Q116" s="403">
        <f t="shared" ca="1" si="13"/>
        <v>13.725</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1573</v>
      </c>
      <c r="Q117" s="403">
        <f t="shared" ca="1" si="13"/>
        <v>13.108333333333333</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1532</v>
      </c>
      <c r="Q118" s="403">
        <f t="shared" ca="1" si="13"/>
        <v>12.766666666666667</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1712</v>
      </c>
      <c r="Q119" s="403">
        <f t="shared" ca="1" si="13"/>
        <v>14.266666666666667</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1671</v>
      </c>
      <c r="Q120" s="403">
        <f t="shared" ca="1" si="13"/>
        <v>13.925000000000001</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1821</v>
      </c>
      <c r="Q121" s="403">
        <f t="shared" ca="1" si="13"/>
        <v>15.175000000000001</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1850</v>
      </c>
      <c r="Q122" s="403">
        <f t="shared" ca="1" si="13"/>
        <v>15.416666666666666</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1563</v>
      </c>
      <c r="Q123" s="403">
        <f t="shared" ca="1" si="13"/>
        <v>13.025</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1488</v>
      </c>
      <c r="Q124" s="403">
        <f t="shared" ca="1" si="13"/>
        <v>12.4</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1669</v>
      </c>
      <c r="Q125" s="403">
        <f t="shared" ca="1" si="13"/>
        <v>13.908333333333333</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1301</v>
      </c>
      <c r="Q126" s="403">
        <f t="shared" ca="1" si="13"/>
        <v>10.841666666666667</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1593</v>
      </c>
      <c r="Q127" s="403">
        <f t="shared" ca="1" si="13"/>
        <v>13.275</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1692</v>
      </c>
      <c r="Q128" s="403">
        <f t="shared" ca="1" si="13"/>
        <v>14.1</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1472</v>
      </c>
      <c r="Q129" s="403">
        <f t="shared" ca="1" si="13"/>
        <v>12.266666666666667</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1491</v>
      </c>
      <c r="Q130" s="403">
        <f t="shared" ca="1" si="13"/>
        <v>12.425000000000001</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1525</v>
      </c>
      <c r="Q131" s="403">
        <f t="shared" ca="1" si="13"/>
        <v>12.708333333333334</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1519</v>
      </c>
      <c r="Q132" s="403">
        <f t="shared" ca="1" si="13"/>
        <v>12.658333333333333</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1507</v>
      </c>
      <c r="Q133" s="403">
        <f t="shared" ca="1" si="13"/>
        <v>12.558333333333334</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1284</v>
      </c>
      <c r="Q134" s="403">
        <f t="shared" ca="1" si="13"/>
        <v>10.7</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1328</v>
      </c>
      <c r="Q135" s="403">
        <f t="shared" ca="1" si="13"/>
        <v>11.066666666666666</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1486</v>
      </c>
      <c r="Q136" s="403">
        <f ca="1">IF(P136=0,"",(P136*100%)/120)</f>
        <v>12.383333333333333</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1601</v>
      </c>
      <c r="Q137" s="403">
        <f t="shared" ref="Q137:Q199" ca="1" si="20">IF(P137=0,"",(P137*100%)/120)</f>
        <v>13.341666666666667</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1768</v>
      </c>
      <c r="Q138" s="403">
        <f t="shared" ca="1" si="20"/>
        <v>14.733333333333333</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1493</v>
      </c>
      <c r="Q139" s="403">
        <f t="shared" ca="1" si="20"/>
        <v>12.441666666666666</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1738</v>
      </c>
      <c r="Q140" s="403">
        <f t="shared" ca="1" si="20"/>
        <v>14.483333333333333</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1448</v>
      </c>
      <c r="Q141" s="403">
        <f t="shared" ca="1" si="20"/>
        <v>12.066666666666666</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1457</v>
      </c>
      <c r="Q142" s="403">
        <f t="shared" ca="1" si="20"/>
        <v>12.141666666666667</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1791</v>
      </c>
      <c r="Q143" s="403">
        <f t="shared" ca="1" si="20"/>
        <v>14.925000000000001</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1691</v>
      </c>
      <c r="Q144" s="403">
        <f t="shared" ca="1" si="20"/>
        <v>14.091666666666667</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1444</v>
      </c>
      <c r="Q145" s="403">
        <f t="shared" ca="1" si="20"/>
        <v>12.033333333333333</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1733</v>
      </c>
      <c r="Q146" s="403">
        <f t="shared" ca="1" si="20"/>
        <v>14.441666666666666</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1733</v>
      </c>
      <c r="Q147" s="403">
        <f t="shared" ca="1" si="20"/>
        <v>14.441666666666666</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1569</v>
      </c>
      <c r="Q148" s="403">
        <f t="shared" ca="1" si="20"/>
        <v>13.074999999999999</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1408</v>
      </c>
      <c r="Q149" s="403">
        <f t="shared" ca="1" si="20"/>
        <v>11.733333333333333</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1408</v>
      </c>
      <c r="Q150" s="403">
        <f t="shared" ca="1" si="20"/>
        <v>11.733333333333333</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958</v>
      </c>
      <c r="Q151" s="403">
        <f t="shared" ca="1" si="20"/>
        <v>7.9833333333333334</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102</v>
      </c>
      <c r="Q152" s="403">
        <f t="shared" ca="1" si="20"/>
        <v>0.85</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1635</v>
      </c>
      <c r="Q153" s="403">
        <f t="shared" ca="1" si="20"/>
        <v>13.625</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1702</v>
      </c>
      <c r="Q154" s="403">
        <f t="shared" ca="1" si="20"/>
        <v>14.183333333333334</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1378</v>
      </c>
      <c r="Q155" s="403">
        <f t="shared" ca="1" si="20"/>
        <v>11.483333333333333</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1725</v>
      </c>
      <c r="Q156" s="403">
        <f t="shared" ca="1" si="20"/>
        <v>14.375</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0.7838475431260955</v>
      </c>
      <c r="N157" s="391" t="str">
        <f t="shared" ca="1" si="19"/>
        <v/>
      </c>
      <c r="O157" s="329">
        <f ca="1">VLOOKUP(B157,'Base de Datos'!$E$7:$Z$303,22,0)</f>
        <v>1</v>
      </c>
      <c r="P157" s="390">
        <f t="shared" ca="1" si="16"/>
        <v>1398</v>
      </c>
      <c r="Q157" s="403">
        <f t="shared" ca="1" si="20"/>
        <v>11.65</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1403</v>
      </c>
      <c r="Q158" s="403">
        <f t="shared" ca="1" si="20"/>
        <v>11.691666666666666</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1742</v>
      </c>
      <c r="Q159" s="403">
        <f t="shared" ca="1" si="20"/>
        <v>14.516666666666667</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1725</v>
      </c>
      <c r="Q160" s="403">
        <f t="shared" ca="1" si="20"/>
        <v>14.375</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1725</v>
      </c>
      <c r="Q161" s="403">
        <f t="shared" ca="1" si="20"/>
        <v>14.375</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1586</v>
      </c>
      <c r="Q162" s="403">
        <f t="shared" ca="1" si="20"/>
        <v>13.216666666666667</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1725</v>
      </c>
      <c r="Q163" s="403">
        <f t="shared" ca="1" si="20"/>
        <v>14.375</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1725</v>
      </c>
      <c r="Q164" s="403">
        <f t="shared" ca="1" si="20"/>
        <v>14.375</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1632</v>
      </c>
      <c r="Q165" s="403">
        <f t="shared" ca="1" si="20"/>
        <v>13.6</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1364</v>
      </c>
      <c r="Q166" s="403">
        <f t="shared" ca="1" si="20"/>
        <v>11.366666666666667</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1719</v>
      </c>
      <c r="Q167" s="403">
        <f t="shared" ca="1" si="20"/>
        <v>14.324999999999999</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1629</v>
      </c>
      <c r="Q168" s="403">
        <f t="shared" ca="1" si="20"/>
        <v>13.574999999999999</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1357</v>
      </c>
      <c r="Q169" s="403">
        <f t="shared" ca="1" si="20"/>
        <v>11.308333333333334</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1670</v>
      </c>
      <c r="Q170" s="403">
        <f t="shared" ca="1" si="20"/>
        <v>13.916666666666666</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1663</v>
      </c>
      <c r="Q171" s="403">
        <f t="shared" ca="1" si="20"/>
        <v>13.858333333333333</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1647</v>
      </c>
      <c r="Q172" s="403">
        <f t="shared" ca="1" si="20"/>
        <v>13.725</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1715</v>
      </c>
      <c r="Q173" s="403">
        <f t="shared" ca="1" si="20"/>
        <v>14.291666666666666</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1594</v>
      </c>
      <c r="Q174" s="403">
        <f t="shared" ca="1" si="20"/>
        <v>13.283333333333333</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1254</v>
      </c>
      <c r="Q175" s="403">
        <f t="shared" ca="1" si="20"/>
        <v>10.45</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1244</v>
      </c>
      <c r="Q176" s="403">
        <f t="shared" ca="1" si="20"/>
        <v>10.366666666666667</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1375</v>
      </c>
      <c r="Q177" s="403">
        <f t="shared" ca="1" si="20"/>
        <v>11.458333333333334</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1302</v>
      </c>
      <c r="Q178" s="403">
        <f t="shared" ca="1" si="20"/>
        <v>10.85</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1492</v>
      </c>
      <c r="Q179" s="403">
        <f t="shared" ca="1" si="20"/>
        <v>12.433333333333334</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1377</v>
      </c>
      <c r="Q180" s="403">
        <f t="shared" ca="1" si="20"/>
        <v>11.475</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1370</v>
      </c>
      <c r="Q181" s="403">
        <f t="shared" ca="1" si="20"/>
        <v>11.416666666666666</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1375</v>
      </c>
      <c r="Q182" s="403">
        <f t="shared" ca="1" si="20"/>
        <v>11.458333333333334</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1375</v>
      </c>
      <c r="Q183" s="403">
        <f t="shared" ca="1" si="20"/>
        <v>11.458333333333334</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1375</v>
      </c>
      <c r="Q184" s="403">
        <f t="shared" ca="1" si="20"/>
        <v>11.458333333333334</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1375</v>
      </c>
      <c r="Q185" s="403">
        <f t="shared" ca="1" si="20"/>
        <v>11.458333333333334</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1375</v>
      </c>
      <c r="Q186" s="403">
        <f t="shared" ca="1" si="20"/>
        <v>11.458333333333334</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1375</v>
      </c>
      <c r="Q187" s="403">
        <f t="shared" ca="1" si="20"/>
        <v>11.458333333333334</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1375</v>
      </c>
      <c r="Q188" s="403">
        <f t="shared" ca="1" si="20"/>
        <v>11.458333333333334</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1287</v>
      </c>
      <c r="Q189" s="403">
        <f t="shared" ca="1" si="20"/>
        <v>10.725</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1375</v>
      </c>
      <c r="Q190" s="403">
        <f t="shared" ca="1" si="20"/>
        <v>11.458333333333334</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1496</v>
      </c>
      <c r="Q191" s="403">
        <f t="shared" ca="1" si="20"/>
        <v>12.466666666666667</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1375</v>
      </c>
      <c r="Q192" s="403">
        <f t="shared" ca="1" si="20"/>
        <v>11.458333333333334</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1377</v>
      </c>
      <c r="Q193" s="403">
        <f t="shared" ca="1" si="20"/>
        <v>11.475</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1635</v>
      </c>
      <c r="Q194" s="403">
        <f t="shared" ca="1" si="20"/>
        <v>13.625</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1635</v>
      </c>
      <c r="Q195" s="403">
        <f t="shared" ca="1" si="20"/>
        <v>13.625</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1645</v>
      </c>
      <c r="Q196" s="403">
        <f t="shared" ca="1" si="20"/>
        <v>13.708333333333334</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1371</v>
      </c>
      <c r="Q197" s="403">
        <f t="shared" ca="1" si="20"/>
        <v>11.425000000000001</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1281</v>
      </c>
      <c r="Q198" s="403">
        <f t="shared" ca="1" si="20"/>
        <v>10.675000000000001</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1414</v>
      </c>
      <c r="Q199" s="403">
        <f t="shared" ca="1" si="20"/>
        <v>11.783333333333333</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1432</v>
      </c>
      <c r="Q200" s="403">
        <f t="shared" ref="Q200:Q263" ca="1" si="27">IF(P200=0,"",(P200*100%)/120)</f>
        <v>11.933333333333334</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1267</v>
      </c>
      <c r="Q201" s="403">
        <f t="shared" ca="1" si="27"/>
        <v>10.558333333333334</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1292</v>
      </c>
      <c r="Q202" s="403">
        <f t="shared" ca="1" si="27"/>
        <v>10.766666666666667</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1482</v>
      </c>
      <c r="Q203" s="403">
        <f t="shared" ca="1" si="27"/>
        <v>12.35</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1566</v>
      </c>
      <c r="Q204" s="403">
        <f t="shared" ca="1" si="27"/>
        <v>13.05</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1266</v>
      </c>
      <c r="Q205" s="403">
        <f t="shared" ca="1" si="27"/>
        <v>10.55</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1255</v>
      </c>
      <c r="Q206" s="403">
        <f t="shared" ca="1" si="27"/>
        <v>10.458333333333334</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43383</v>
      </c>
      <c r="Q207" s="403">
        <f t="shared" ca="1" si="27"/>
        <v>361.52499999999998</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1528</v>
      </c>
      <c r="Q208" s="403">
        <f t="shared" ca="1" si="27"/>
        <v>12.733333333333333</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1451</v>
      </c>
      <c r="Q209" s="403">
        <f t="shared" ca="1" si="27"/>
        <v>12.091666666666667</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1071</v>
      </c>
      <c r="Q210" s="403">
        <f t="shared" ca="1" si="27"/>
        <v>8.9250000000000007</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1516</v>
      </c>
      <c r="Q211" s="403">
        <f t="shared" ca="1" si="27"/>
        <v>12.633333333333333</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1197</v>
      </c>
      <c r="Q212" s="403">
        <f t="shared" ca="1" si="27"/>
        <v>9.9749999999999996</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1267</v>
      </c>
      <c r="Q213" s="403">
        <f t="shared" ca="1" si="27"/>
        <v>10.558333333333334</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1511</v>
      </c>
      <c r="Q214" s="403">
        <f t="shared" ca="1" si="27"/>
        <v>12.591666666666667</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1424</v>
      </c>
      <c r="Q215" s="403">
        <f t="shared" ca="1" si="27"/>
        <v>11.866666666666667</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1176</v>
      </c>
      <c r="Q216" s="403">
        <f t="shared" ca="1" si="27"/>
        <v>9.8000000000000007</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1531</v>
      </c>
      <c r="Q217" s="403">
        <f t="shared" ca="1" si="27"/>
        <v>12.758333333333333</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1197</v>
      </c>
      <c r="Q218" s="403">
        <f t="shared" ca="1" si="27"/>
        <v>9.9749999999999996</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1136</v>
      </c>
      <c r="Q219" s="403">
        <f t="shared" ca="1" si="27"/>
        <v>9.4666666666666668</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1180</v>
      </c>
      <c r="Q220" s="403">
        <f t="shared" ca="1" si="27"/>
        <v>9.8333333333333339</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1333</v>
      </c>
      <c r="Q221" s="403">
        <f t="shared" ca="1" si="27"/>
        <v>11.108333333333333</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1181</v>
      </c>
      <c r="Q222" s="403">
        <f t="shared" ca="1" si="27"/>
        <v>9.8416666666666668</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1287</v>
      </c>
      <c r="Q223" s="403">
        <f t="shared" ca="1" si="27"/>
        <v>10.725</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1167</v>
      </c>
      <c r="Q224" s="403">
        <f t="shared" ca="1" si="27"/>
        <v>9.7249999999999996</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1356</v>
      </c>
      <c r="Q225" s="403">
        <f t="shared" ca="1" si="27"/>
        <v>11.3</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1244</v>
      </c>
      <c r="Q226" s="403">
        <f t="shared" ca="1" si="27"/>
        <v>10.366666666666667</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1418</v>
      </c>
      <c r="Q227" s="403">
        <f t="shared" ca="1" si="27"/>
        <v>11.816666666666666</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1460</v>
      </c>
      <c r="Q228" s="403">
        <f t="shared" ca="1" si="27"/>
        <v>12.166666666666666</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1275</v>
      </c>
      <c r="Q229" s="403">
        <f t="shared" ca="1" si="27"/>
        <v>10.625</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1082</v>
      </c>
      <c r="Q230" s="403">
        <f t="shared" ca="1" si="27"/>
        <v>9.0166666666666675</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1106</v>
      </c>
      <c r="Q231" s="403">
        <f t="shared" ca="1" si="27"/>
        <v>9.2166666666666668</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1125</v>
      </c>
      <c r="Q232" s="403">
        <f t="shared" ca="1" si="27"/>
        <v>9.375</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1122</v>
      </c>
      <c r="Q233" s="403">
        <f t="shared" ca="1" si="27"/>
        <v>9.35</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1374</v>
      </c>
      <c r="Q234" s="403">
        <f t="shared" ca="1" si="27"/>
        <v>11.45</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1078</v>
      </c>
      <c r="Q235" s="403">
        <f t="shared" ca="1" si="27"/>
        <v>8.9833333333333325</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1298</v>
      </c>
      <c r="Q236" s="403">
        <f t="shared" ca="1" si="27"/>
        <v>10.816666666666666</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1245</v>
      </c>
      <c r="Q237" s="403">
        <f t="shared" ca="1" si="27"/>
        <v>10.375</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1370</v>
      </c>
      <c r="Q238" s="403">
        <f t="shared" ca="1" si="27"/>
        <v>11.416666666666666</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1337</v>
      </c>
      <c r="Q239" s="403">
        <f t="shared" ca="1" si="27"/>
        <v>11.141666666666667</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0.3</v>
      </c>
      <c r="N240" s="391" t="str">
        <f t="shared" ca="1" si="26"/>
        <v/>
      </c>
      <c r="O240" s="329">
        <f ca="1">VLOOKUP(B240,'Base de Datos'!$E$7:$Z$303,22,0)</f>
        <v>1</v>
      </c>
      <c r="P240" s="390">
        <f t="shared" ca="1" si="23"/>
        <v>1387</v>
      </c>
      <c r="Q240" s="403">
        <f t="shared" ca="1" si="27"/>
        <v>11.558333333333334</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1330</v>
      </c>
      <c r="Q241" s="403">
        <f t="shared" ca="1" si="27"/>
        <v>11.083333333333334</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1362</v>
      </c>
      <c r="Q242" s="403">
        <f t="shared" ca="1" si="27"/>
        <v>11.35</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1350</v>
      </c>
      <c r="Q243" s="403">
        <f t="shared" ca="1" si="27"/>
        <v>11.25</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1379</v>
      </c>
      <c r="Q244" s="403">
        <f t="shared" ca="1" si="27"/>
        <v>11.491666666666667</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906</v>
      </c>
      <c r="Q245" s="403">
        <f t="shared" ca="1" si="27"/>
        <v>7.55</v>
      </c>
      <c r="R245" s="325" t="str">
        <f ca="1">VLOOKUP(B245,'Base de Datos'!E245:AR556,33,0)</f>
        <v>TERMINO</v>
      </c>
      <c r="S245" s="328" t="str">
        <f t="shared" ca="1" si="24"/>
        <v>NO</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1267</v>
      </c>
      <c r="Q246" s="403">
        <f t="shared" ca="1" si="27"/>
        <v>10.558333333333334</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1014</v>
      </c>
      <c r="Q247" s="403">
        <f t="shared" ca="1" si="27"/>
        <v>8.4499999999999993</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1413</v>
      </c>
      <c r="Q248" s="403">
        <f t="shared" ca="1" si="27"/>
        <v>11.775</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1142</v>
      </c>
      <c r="Q249" s="403">
        <f t="shared" ca="1" si="27"/>
        <v>9.5166666666666675</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1306</v>
      </c>
      <c r="Q250" s="403">
        <f t="shared" ca="1" si="27"/>
        <v>10.883333333333333</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1199</v>
      </c>
      <c r="Q251" s="403">
        <f t="shared" ca="1" si="27"/>
        <v>9.9916666666666671</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1048</v>
      </c>
      <c r="Q252" s="403">
        <f t="shared" ca="1" si="27"/>
        <v>8.7333333333333325</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0.12771428615113078</v>
      </c>
      <c r="N253" s="391" t="str">
        <f t="shared" ca="1" si="26"/>
        <v/>
      </c>
      <c r="O253" s="329">
        <f ca="1">VLOOKUP(B253,'Base de Datos'!$E$7:$Z$303,22,0)</f>
        <v>1</v>
      </c>
      <c r="P253" s="390">
        <f t="shared" ca="1" si="23"/>
        <v>1175</v>
      </c>
      <c r="Q253" s="403">
        <f t="shared" ca="1" si="27"/>
        <v>9.7916666666666661</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0.63776140380765789</v>
      </c>
      <c r="N254" s="391" t="str">
        <f t="shared" ca="1" si="26"/>
        <v/>
      </c>
      <c r="O254" s="329">
        <f ca="1">VLOOKUP(B254,'Base de Datos'!$E$7:$Z$303,22,0)</f>
        <v>1</v>
      </c>
      <c r="P254" s="390">
        <f t="shared" ca="1" si="23"/>
        <v>1049</v>
      </c>
      <c r="Q254" s="403">
        <f t="shared" ca="1" si="27"/>
        <v>8.7416666666666671</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879</v>
      </c>
      <c r="Q255" s="403">
        <f t="shared" ca="1" si="27"/>
        <v>7.3250000000000002</v>
      </c>
      <c r="R255" s="325" t="str">
        <f ca="1">VLOOKUP(B255,'Base de Datos'!E255:AR566,33,0)</f>
        <v>TERMINO</v>
      </c>
      <c r="S255" s="328" t="str">
        <f t="shared" ca="1" si="24"/>
        <v>SI</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1320</v>
      </c>
      <c r="Q256" s="403">
        <f t="shared" ca="1" si="27"/>
        <v>11</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1323</v>
      </c>
      <c r="Q257" s="403">
        <f t="shared" ca="1" si="27"/>
        <v>11.025</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1178</v>
      </c>
      <c r="Q258" s="403">
        <f t="shared" ca="1" si="27"/>
        <v>9.8166666666666664</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1048</v>
      </c>
      <c r="Q259" s="403">
        <f t="shared" ca="1" si="27"/>
        <v>8.7333333333333325</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1320</v>
      </c>
      <c r="Q260" s="403">
        <f t="shared" ca="1" si="27"/>
        <v>11</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1339</v>
      </c>
      <c r="Q261" s="403">
        <f t="shared" ca="1" si="27"/>
        <v>11.158333333333333</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1370</v>
      </c>
      <c r="Q262" s="403">
        <f t="shared" ca="1" si="27"/>
        <v>11.416666666666666</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1281</v>
      </c>
      <c r="Q263" s="403">
        <f t="shared" ca="1" si="27"/>
        <v>10.675000000000001</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1243</v>
      </c>
      <c r="Q264" s="403">
        <f t="shared" ref="Q264:Q311" ca="1" si="34">IF(P264=0,"",(P264*100%)/120)</f>
        <v>10.358333333333333</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1274</v>
      </c>
      <c r="Q265" s="403">
        <f t="shared" ca="1" si="34"/>
        <v>10.616666666666667</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1104</v>
      </c>
      <c r="Q266" s="403">
        <f t="shared" ca="1" si="34"/>
        <v>9.1999999999999993</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1035</v>
      </c>
      <c r="Q267" s="403">
        <f t="shared" ca="1" si="34"/>
        <v>8.625</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600000000</v>
      </c>
      <c r="I268" s="328" t="str">
        <f>IF(VLOOKUP(B268,'Base de Datos'!$E$7:$S$303,11,0),"SI","NO")</f>
        <v>SI</v>
      </c>
      <c r="J268" s="329">
        <f t="shared" si="28"/>
        <v>0</v>
      </c>
      <c r="K268" s="328" t="str">
        <f>IF(VLOOKUP(B268,'Base de Datos'!$E$7:$S$303,11,0),"SI","NO")</f>
        <v>SI</v>
      </c>
      <c r="L268" s="329">
        <f t="shared" si="29"/>
        <v>1</v>
      </c>
      <c r="M268" s="329">
        <f>VLOOKUP(B268,'Base de Datos'!$E$7:$Z$303,21,0)</f>
        <v>0.5</v>
      </c>
      <c r="N268" s="391">
        <f t="shared" ca="1" si="33"/>
        <v>445</v>
      </c>
      <c r="O268" s="329">
        <f ca="1">VLOOKUP(B268,'Base de Datos'!$E$7:$Z$303,22,0)</f>
        <v>0.75629791894852139</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1000</v>
      </c>
      <c r="Q269" s="403">
        <f t="shared" ca="1" si="34"/>
        <v>8.3333333333333339</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1045</v>
      </c>
      <c r="Q270" s="403">
        <f t="shared" ca="1" si="34"/>
        <v>8.7083333333333339</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987</v>
      </c>
      <c r="Q271" s="403">
        <f t="shared" ca="1" si="34"/>
        <v>8.2249999999999996</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960</v>
      </c>
      <c r="Q272" s="403">
        <f t="shared" ca="1" si="34"/>
        <v>8</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1304</v>
      </c>
      <c r="Q273" s="403">
        <f t="shared" ca="1" si="34"/>
        <v>10.866666666666667</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981</v>
      </c>
      <c r="Q274" s="403">
        <f t="shared" ca="1" si="34"/>
        <v>8.1750000000000007</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1337</v>
      </c>
      <c r="Q275" s="403">
        <f t="shared" ca="1" si="34"/>
        <v>11.141666666666667</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973</v>
      </c>
      <c r="Q276" s="403">
        <f t="shared" ca="1" si="34"/>
        <v>8.1083333333333325</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0.47499978006095456</v>
      </c>
      <c r="N277" s="391" t="str">
        <f t="shared" ca="1" si="33"/>
        <v/>
      </c>
      <c r="O277" s="329">
        <f ca="1">VLOOKUP(B277,'Base de Datos'!$E$7:$Z$303,22,0)</f>
        <v>1</v>
      </c>
      <c r="P277" s="390">
        <f t="shared" ca="1" si="30"/>
        <v>973</v>
      </c>
      <c r="Q277" s="403">
        <f t="shared" ca="1" si="34"/>
        <v>8.1083333333333325</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965</v>
      </c>
      <c r="Q278" s="403">
        <f t="shared" ca="1" si="34"/>
        <v>8.0416666666666661</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964</v>
      </c>
      <c r="Q279" s="403">
        <f t="shared" ca="1" si="34"/>
        <v>8.0333333333333332</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964</v>
      </c>
      <c r="Q280" s="403">
        <f t="shared" ca="1" si="34"/>
        <v>8.0333333333333332</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958</v>
      </c>
      <c r="Q281" s="403">
        <f t="shared" ca="1" si="34"/>
        <v>7.9833333333333334</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853</v>
      </c>
      <c r="Q282" s="403">
        <f t="shared" ca="1" si="34"/>
        <v>7.1083333333333334</v>
      </c>
      <c r="R282" s="325" t="str">
        <f ca="1">VLOOKUP(B282,'Base de Datos'!E282:AR593,33,0)</f>
        <v>TERMINO</v>
      </c>
      <c r="S282" s="328" t="str">
        <f t="shared" ca="1" si="31"/>
        <v>SI</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952</v>
      </c>
      <c r="Q283" s="403">
        <f t="shared" ca="1" si="34"/>
        <v>7.9333333333333336</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1044</v>
      </c>
      <c r="Q284" s="403">
        <f t="shared" ca="1" si="34"/>
        <v>8.6999999999999993</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944</v>
      </c>
      <c r="Q285" s="403">
        <f t="shared" ca="1" si="34"/>
        <v>7.8666666666666663</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951</v>
      </c>
      <c r="Q286" s="403">
        <f t="shared" ca="1" si="34"/>
        <v>7.9249999999999998</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944</v>
      </c>
      <c r="Q287" s="403">
        <f t="shared" ca="1" si="34"/>
        <v>7.8666666666666663</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43383</v>
      </c>
      <c r="Q288" s="403">
        <f t="shared" ca="1" si="34"/>
        <v>361.52499999999998</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1142</v>
      </c>
      <c r="Q289" s="403">
        <f t="shared" ca="1" si="34"/>
        <v>9.5166666666666675</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936</v>
      </c>
      <c r="Q290" s="403">
        <f t="shared" ca="1" si="34"/>
        <v>7.8</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1035</v>
      </c>
      <c r="Q291" s="403">
        <f t="shared" ca="1" si="34"/>
        <v>8.625</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906</v>
      </c>
      <c r="Q292" s="403">
        <f t="shared" ca="1" si="34"/>
        <v>7.55</v>
      </c>
      <c r="R292" s="325" t="str">
        <f ca="1">VLOOKUP(B292,'Base de Datos'!E292:AR603,33,0)</f>
        <v>TERMINO</v>
      </c>
      <c r="S292" s="328" t="str">
        <f t="shared" ca="1" si="31"/>
        <v>NO</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801</v>
      </c>
      <c r="Q293" s="403">
        <f t="shared" ca="1" si="34"/>
        <v>6.6749999999999998</v>
      </c>
      <c r="R293" s="325" t="str">
        <f ca="1">VLOOKUP(B293,'Base de Datos'!E293:AR604,33,0)</f>
        <v>TERMINO</v>
      </c>
      <c r="S293" s="328" t="str">
        <f t="shared" ca="1" si="31"/>
        <v>SI</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896</v>
      </c>
      <c r="Q294" s="403">
        <f t="shared" ca="1" si="34"/>
        <v>7.4666666666666668</v>
      </c>
      <c r="R294" s="325" t="str">
        <f ca="1">VLOOKUP(B294,'Base de Datos'!E294:AR605,33,0)</f>
        <v>TERMINO</v>
      </c>
      <c r="S294" s="328" t="str">
        <f t="shared" ca="1" si="31"/>
        <v>SI</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932</v>
      </c>
      <c r="Q295" s="403">
        <f t="shared" ca="1" si="34"/>
        <v>7.7666666666666666</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901</v>
      </c>
      <c r="Q296" s="403">
        <f t="shared" ca="1" si="34"/>
        <v>7.5083333333333337</v>
      </c>
      <c r="R296" s="325" t="str">
        <f ca="1">VLOOKUP(B296,'Base de Datos'!E296:AR607,33,0)</f>
        <v>TERMINO</v>
      </c>
      <c r="S296" s="328" t="str">
        <f t="shared" ca="1" si="31"/>
        <v>NO</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915</v>
      </c>
      <c r="Q297" s="403">
        <f t="shared" ca="1" si="34"/>
        <v>7.625</v>
      </c>
      <c r="R297" s="325" t="str">
        <f ca="1">VLOOKUP(B297,'Base de Datos'!E297:AR608,33,0)</f>
        <v>TERMINO</v>
      </c>
      <c r="S297" s="328" t="str">
        <f t="shared" ca="1" si="31"/>
        <v>NO</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852</v>
      </c>
      <c r="Q298" s="403">
        <f t="shared" ca="1" si="34"/>
        <v>7.1</v>
      </c>
      <c r="R298" s="325" t="str">
        <f ca="1">VLOOKUP(B298,'Base de Datos'!E298:AR609,33,0)</f>
        <v>TERMINO</v>
      </c>
      <c r="S298" s="328" t="str">
        <f t="shared" ca="1" si="31"/>
        <v>SI</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873</v>
      </c>
      <c r="Q299" s="403">
        <f t="shared" ca="1" si="34"/>
        <v>7.2750000000000004</v>
      </c>
      <c r="R299" s="325" t="str">
        <f ca="1">VLOOKUP(B299,'Base de Datos'!E299:AR610,33,0)</f>
        <v>TERMINO</v>
      </c>
      <c r="S299" s="328" t="str">
        <f t="shared" ca="1" si="31"/>
        <v>SI</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1125</v>
      </c>
      <c r="Q300" s="403">
        <f t="shared" ca="1" si="34"/>
        <v>9.375</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0.68053581818181819</v>
      </c>
      <c r="N301" s="391" t="str">
        <f t="shared" ca="1" si="33"/>
        <v/>
      </c>
      <c r="O301" s="329">
        <f ca="1">VLOOKUP(B301,'Base de Datos'!$E$7:$Z$303,22,0)</f>
        <v>1</v>
      </c>
      <c r="P301" s="390">
        <f t="shared" ca="1" si="30"/>
        <v>851</v>
      </c>
      <c r="Q301" s="403">
        <f t="shared" ca="1" si="34"/>
        <v>7.0916666666666668</v>
      </c>
      <c r="R301" s="325" t="str">
        <f ca="1">VLOOKUP(B301,'Base de Datos'!E301:AR612,33,0)</f>
        <v>TERMINO</v>
      </c>
      <c r="S301" s="328" t="str">
        <f t="shared" ca="1" si="31"/>
        <v>SI</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1236</v>
      </c>
      <c r="Q302" s="403">
        <f t="shared" ca="1" si="34"/>
        <v>10.3</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868</v>
      </c>
      <c r="Q303" s="403">
        <f t="shared" ca="1" si="34"/>
        <v>7.2333333333333334</v>
      </c>
      <c r="R303" s="325" t="str">
        <f ca="1">VLOOKUP(B303,'Base de Datos'!E303:AR614,33,0)</f>
        <v>TERMINO</v>
      </c>
      <c r="S303" s="328" t="str">
        <f t="shared" ca="1" si="31"/>
        <v>SI</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929</v>
      </c>
      <c r="Q304" s="403">
        <f t="shared" ca="1" si="34"/>
        <v>7.7416666666666663</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1147</v>
      </c>
      <c r="Q305" s="403">
        <f t="shared" ca="1" si="34"/>
        <v>9.5583333333333336</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739</v>
      </c>
      <c r="Q306" s="403">
        <f t="shared" ca="1" si="34"/>
        <v>6.1583333333333332</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928</v>
      </c>
      <c r="Q307" s="403">
        <f t="shared" ca="1" si="34"/>
        <v>7.7333333333333334</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801</v>
      </c>
      <c r="Q308" s="403">
        <f t="shared" ca="1" si="34"/>
        <v>6.6749999999999998</v>
      </c>
      <c r="R308" s="325" t="str">
        <f ca="1">VLOOKUP(B308,'Base de Datos'!E308:AR619,33,0)</f>
        <v>TERMINO</v>
      </c>
      <c r="S308" s="328" t="str">
        <f t="shared" ca="1" si="31"/>
        <v>SI</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970</v>
      </c>
      <c r="Q309" s="403">
        <f t="shared" ca="1" si="34"/>
        <v>8.0833333333333339</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933</v>
      </c>
      <c r="Q310" s="403">
        <f t="shared" ca="1" si="34"/>
        <v>7.7750000000000004</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872</v>
      </c>
      <c r="Q311" s="403">
        <f t="shared" ca="1" si="34"/>
        <v>7.2666666666666666</v>
      </c>
      <c r="R311" s="325" t="str">
        <f ca="1">VLOOKUP(B311,'Base de Datos'!E311:AR622,33,0)</f>
        <v>TERMINO</v>
      </c>
      <c r="S311" s="328" t="str">
        <f t="shared" ca="1" si="31"/>
        <v>SI</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48" t="s">
        <v>1777</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50"/>
    </row>
    <row r="3" spans="1:54" s="469" customFormat="1" ht="24.75" customHeight="1" x14ac:dyDescent="0.25">
      <c r="B3" s="1151" t="s">
        <v>1799</v>
      </c>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c r="AT3" s="1152"/>
      <c r="AU3" s="1152"/>
      <c r="AV3" s="1152"/>
      <c r="AW3" s="1152"/>
      <c r="AX3" s="1152"/>
      <c r="AY3" s="1152"/>
      <c r="AZ3" s="1153"/>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33418364</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2161</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2123</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1763557</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e">
        <f>IF(ISERROR(VLOOKUP(D31,'Base de Datos'!$C$7:$AR$4014,6,0))=TRUE," ",(VLOOKUP(D31,'Base de Datos'!$C$7:$AR$400,6,0)))</f>
        <v>#N/A</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str">
        <f>IF(ISERROR(VLOOKUP(D34,'Base de Datos'!$C$7:$AR$4014,6,0))=TRUE," ",(VLOOKUP(D34,'Base de Datos'!$C$7:$AR$400,6,0)))</f>
        <v xml:space="preserve"> </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16510250</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2088</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2212</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0</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2109</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16510250</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88978898</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3514106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150302-0-2015</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186482674</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0</v>
      </c>
      <c r="AT79" s="460">
        <f>IF(ISERROR(VLOOKUP(D79,'Base de Datos'!$C$7:$AR$400,14,0))=TRUE," ",(VLOOKUP(D79,'Base de Datos'!$C$7:$AR$400,14,0)))</f>
        <v>0</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186482674</v>
      </c>
      <c r="AY79" s="465">
        <f>IF(ISERROR(VLOOKUP(D79,'Base de Datos'!$C$7:$AR$400,21,0))=TRUE," ",(VLOOKUP(D79,'Base de Datos'!$C$7:$AR$400,21,0)))</f>
        <v>186482674</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2075</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150302-0-2015</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186482674</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0</v>
      </c>
      <c r="AT82" s="460">
        <f>IF(ISERROR(VLOOKUP(D82,'Base de Datos'!$C$7:$AR$400,14,0))=TRUE," ",(VLOOKUP(D82,'Base de Datos'!$C$7:$AR$400,14,0)))</f>
        <v>0</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186482674</v>
      </c>
      <c r="AY82" s="465">
        <f>IF(ISERROR(VLOOKUP(D82,'Base de Datos'!$C$7:$AR$400,21,0))=TRUE," ",(VLOOKUP(D82,'Base de Datos'!$C$7:$AR$400,21,0)))</f>
        <v>186482674</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2195</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2205</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3750046</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2162</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2122</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1105786</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31577404</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11167296</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2204</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54" t="s">
        <v>1797</v>
      </c>
      <c r="C6" s="1154"/>
      <c r="D6" s="1154"/>
      <c r="E6" s="1154"/>
      <c r="F6" s="1154"/>
      <c r="G6" s="1154"/>
      <c r="H6" s="1154"/>
      <c r="I6" s="1154"/>
      <c r="J6" s="1154"/>
      <c r="K6" s="1154"/>
      <c r="L6" s="529"/>
    </row>
    <row r="7" spans="1:12" s="484" customFormat="1" ht="15" x14ac:dyDescent="0.2">
      <c r="A7" s="529"/>
      <c r="B7" s="1154" t="s">
        <v>1798</v>
      </c>
      <c r="C7" s="1154"/>
      <c r="D7" s="1154"/>
      <c r="E7" s="1154"/>
      <c r="F7" s="1154"/>
      <c r="G7" s="1154"/>
      <c r="H7" s="1154"/>
      <c r="I7" s="1154"/>
      <c r="J7" s="1154"/>
      <c r="K7" s="1154"/>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8" t="s">
        <v>1844</v>
      </c>
      <c r="C1" s="1169"/>
      <c r="D1" s="1169"/>
      <c r="E1" s="1169"/>
      <c r="F1" s="1169"/>
      <c r="G1" s="1169"/>
      <c r="H1" s="1169"/>
      <c r="I1" s="1169"/>
      <c r="J1" s="1169"/>
      <c r="K1" s="1169"/>
      <c r="L1" s="1169"/>
      <c r="M1" s="1169"/>
      <c r="N1" s="1169"/>
      <c r="O1" s="1169"/>
      <c r="P1" s="1169"/>
      <c r="Q1" s="1169"/>
      <c r="R1" s="1169"/>
      <c r="S1" s="1169"/>
      <c r="T1" s="1170"/>
      <c r="AA1" s="537" t="s">
        <v>1906</v>
      </c>
    </row>
    <row r="2" spans="2:27" ht="36" x14ac:dyDescent="0.25">
      <c r="B2" s="1175" t="s">
        <v>1786</v>
      </c>
      <c r="C2" s="1175"/>
      <c r="D2" s="1175"/>
      <c r="E2" s="731" t="s">
        <v>2269</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62" t="s">
        <v>1689</v>
      </c>
      <c r="C3" s="1162"/>
      <c r="D3" s="1162"/>
      <c r="E3" s="543">
        <v>31035477000</v>
      </c>
      <c r="F3" s="543"/>
      <c r="G3" s="543"/>
      <c r="H3" s="543"/>
      <c r="I3" s="543">
        <f>+I4+I226</f>
        <v>8272977000</v>
      </c>
      <c r="J3" s="543">
        <f>+J4+J226</f>
        <v>27321544236.200001</v>
      </c>
      <c r="K3" s="648">
        <f t="shared" ref="K3:K8" si="0">+J3/E3</f>
        <v>0.88033266690890555</v>
      </c>
      <c r="L3" s="543">
        <f>+L4+L226</f>
        <v>3126073772</v>
      </c>
      <c r="M3" s="543">
        <f>+M4+M251</f>
        <v>127070622</v>
      </c>
      <c r="N3" s="543">
        <f>+N4+N226</f>
        <v>571062057.80000019</v>
      </c>
      <c r="O3" s="543"/>
      <c r="P3" s="653"/>
      <c r="Q3" s="573"/>
      <c r="R3" s="573"/>
      <c r="S3" s="573"/>
      <c r="T3" s="573"/>
    </row>
    <row r="4" spans="2:27" ht="15" customHeight="1" x14ac:dyDescent="0.25">
      <c r="B4" s="1162" t="s">
        <v>1687</v>
      </c>
      <c r="C4" s="1162"/>
      <c r="D4" s="1162"/>
      <c r="E4" s="543">
        <v>22793000000</v>
      </c>
      <c r="F4" s="544"/>
      <c r="G4" s="543">
        <f>+G5+G58</f>
        <v>858500000</v>
      </c>
      <c r="H4" s="543">
        <f>+H5+H58</f>
        <v>128000000</v>
      </c>
      <c r="I4" s="543">
        <f>+I5+I58</f>
        <v>730500000</v>
      </c>
      <c r="J4" s="543">
        <f>+J5+J49</f>
        <v>19663634034</v>
      </c>
      <c r="K4" s="648">
        <f t="shared" si="0"/>
        <v>0.86270495476681441</v>
      </c>
      <c r="L4" s="543">
        <f>+L5+L49</f>
        <v>2675596772</v>
      </c>
      <c r="M4" s="543">
        <f>+M5+M49</f>
        <v>127070622</v>
      </c>
      <c r="N4" s="543">
        <f>+N5+N49</f>
        <v>436972260</v>
      </c>
      <c r="O4" s="676"/>
      <c r="P4" s="574"/>
      <c r="Q4" s="573"/>
      <c r="R4" s="573"/>
      <c r="S4" s="573"/>
      <c r="T4" s="573"/>
    </row>
    <row r="5" spans="2:27" ht="15" customHeight="1" x14ac:dyDescent="0.25">
      <c r="B5" s="1158" t="s">
        <v>1686</v>
      </c>
      <c r="C5" s="1158"/>
      <c r="D5" s="1158"/>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58" t="s">
        <v>1685</v>
      </c>
      <c r="C6" s="1158"/>
      <c r="D6" s="1158"/>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58" t="s">
        <v>1684</v>
      </c>
      <c r="C7" s="1158"/>
      <c r="D7" s="1158"/>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55" t="s">
        <v>1646</v>
      </c>
      <c r="C8" s="1155"/>
      <c r="D8" s="1155"/>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SI</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NO</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NO</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NO</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NO</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NO</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NO</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NO</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NO</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NO</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NO</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2350</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71"/>
      <c r="C32" s="1172"/>
      <c r="D32" s="1172"/>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73"/>
      <c r="C33" s="1174"/>
      <c r="D33" s="1174"/>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0" t="s">
        <v>1647</v>
      </c>
      <c r="C34" s="1160"/>
      <c r="D34" s="1160"/>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5" t="s">
        <v>1648</v>
      </c>
      <c r="C37" s="1155"/>
      <c r="D37" s="1155"/>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NO</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57"/>
      <c r="C48" s="1157"/>
      <c r="D48" s="1157"/>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9" t="s">
        <v>1796</v>
      </c>
      <c r="C49" s="1159"/>
      <c r="D49" s="1159"/>
      <c r="E49" s="559">
        <v>9151221000</v>
      </c>
      <c r="F49" s="635"/>
      <c r="G49" s="560"/>
      <c r="H49" s="560"/>
      <c r="I49" s="560"/>
      <c r="J49" s="569">
        <f>J50+J90+J216</f>
        <v>8250268982</v>
      </c>
      <c r="K49" s="611">
        <f>J49/E49</f>
        <v>0.90154843621414016</v>
      </c>
      <c r="L49" s="569">
        <f>L50+L90+L216</f>
        <v>450431852</v>
      </c>
      <c r="M49" s="569">
        <f>M50+M90+M216</f>
        <v>123821594</v>
      </c>
      <c r="N49" s="569">
        <f>N50+N90+N216</f>
        <v>433723232</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8" t="s">
        <v>1650</v>
      </c>
      <c r="C50" s="1158"/>
      <c r="D50" s="1158"/>
      <c r="E50" s="541">
        <v>2089000000</v>
      </c>
      <c r="F50" s="633"/>
      <c r="G50" s="542"/>
      <c r="H50" s="542"/>
      <c r="I50" s="542"/>
      <c r="J50" s="633">
        <f>+J51+J75+J82</f>
        <v>1937498061</v>
      </c>
      <c r="K50" s="633"/>
      <c r="L50" s="633">
        <f>+L51+L75+L82</f>
        <v>62585345</v>
      </c>
      <c r="M50" s="633">
        <f>+M51+M75+M82</f>
        <v>123821594</v>
      </c>
      <c r="N50" s="633">
        <f>+N51+N75+N82</f>
        <v>88916594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5" t="s">
        <v>1651</v>
      </c>
      <c r="C51" s="1155"/>
      <c r="D51" s="1155"/>
      <c r="E51" s="583">
        <v>1414000000</v>
      </c>
      <c r="F51" s="588">
        <f>COUNTIF('Actualizada - presupuesto'!$E$7:$E$111,B51)</f>
        <v>15</v>
      </c>
      <c r="G51" s="588"/>
      <c r="H51" s="588"/>
      <c r="I51" s="588"/>
      <c r="J51" s="583">
        <f>SUM(J54:J72)</f>
        <v>1242381061</v>
      </c>
      <c r="K51" s="605">
        <f>J51/E51</f>
        <v>0.8786287560113154</v>
      </c>
      <c r="L51" s="583">
        <f>SUM(L54:L72)</f>
        <v>62585345</v>
      </c>
      <c r="M51" s="587">
        <f>+E51-(J51+L51)</f>
        <v>109033594</v>
      </c>
      <c r="N51" s="583">
        <f>+E51-J51-L51</f>
        <v>109033594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2152</v>
      </c>
      <c r="E53" s="547" t="s">
        <v>2154</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
      </c>
      <c r="D56" s="535" t="s">
        <v>2153</v>
      </c>
      <c r="E56" s="547" t="s">
        <v>2154</v>
      </c>
      <c r="F56" s="536"/>
      <c r="G56" s="536"/>
      <c r="H56" s="536"/>
      <c r="I56" s="536"/>
      <c r="J56" s="538" t="str">
        <f>IF(ISERROR(VLOOKUP(B56,'Base de Datos'!$C$7:$N$4345,6,0))=TRUE,"Sin Celebrar",(VLOOKUP(B56,'Base de Datos'!$C$7:$N$4345,7,0)))</f>
        <v>Sin Celebrar</v>
      </c>
      <c r="K56" s="602"/>
      <c r="L56" s="538"/>
      <c r="M56" s="538"/>
      <c r="N56" s="538"/>
      <c r="O56" s="721" t="str">
        <f>IF(ISERROR(VLOOKUP(B56,'Base de Datos'!$C$7:$K$1048576,7,0))=TRUE," ",(VLOOKUP(B56,'Base de Datos'!$C$7:$K$1048576,8,0)))</f>
        <v xml:space="preserve"> </v>
      </c>
      <c r="P56" s="553" t="str">
        <f>IF(ISERROR(VLOOKUP(B56,'Base de Datos'!$C$7:$N$4330,9,0))=TRUE," ",(VLOOKUP(B56,'Base de Datos'!$C$7:$N$4330,10,0)))</f>
        <v xml:space="preserve"> </v>
      </c>
      <c r="Q56" s="535"/>
      <c r="R56" s="553" t="str">
        <f>IF(ISERROR(VLOOKUP(B56,'Base de Datos'!$C$7:$N$4330,10,0))=TRUE," ",(VLOOKUP(B56,'Base de Datos'!$C$7:$N$4330,11,0)))</f>
        <v xml:space="preserve"> </v>
      </c>
      <c r="S56" s="553" t="str">
        <f>IF(ISERROR(VLOOKUP(B56,'Base de Datos'!$C$7:$N$4330,11,0))=TRUE," ",(VLOOKUP(B56,'Base de Datos'!$C$7:$N$4330,12,0)))</f>
        <v xml:space="preserve"> </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SI</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SI</v>
      </c>
      <c r="U60" s="724"/>
      <c r="V60" s="636"/>
    </row>
    <row r="61" spans="2:22" ht="15" customHeight="1" outlineLevel="1" x14ac:dyDescent="0.25">
      <c r="B61" s="539">
        <v>61</v>
      </c>
      <c r="C61" s="535" t="str">
        <f>IF(ISERROR(VLOOKUP(B61,'Base de Datos'!$C$7:$F$4345,2,0))=TRUE,"",(VLOOKUP('Presupuesto - PAA 2015'!B61,'Base de Datos'!$C$7:$F$4345,3,0)))</f>
        <v>180204-0-2018</v>
      </c>
      <c r="D61" s="540" t="s">
        <v>1828</v>
      </c>
      <c r="E61" s="538">
        <f>VLOOKUP(B61,'[5]Abr 24-2015'!$C$53:$AA$327,24,0)</f>
        <v>40610000</v>
      </c>
      <c r="F61" s="536">
        <f>VLOOKUP(B61,'Actualizada - presupuesto'!$D$7:$L$111,9,0)</f>
        <v>0</v>
      </c>
      <c r="G61" s="536"/>
      <c r="H61" s="536"/>
      <c r="I61" s="536"/>
      <c r="J61" s="538">
        <f>IF(ISERROR(VLOOKUP(B61,'Base de Datos'!$C$7:$N$4345,6,0))=TRUE,"Sin Celebrar",(VLOOKUP(B61,'Base de Datos'!$C$7:$N$4345,7,0)))</f>
        <v>18450000</v>
      </c>
      <c r="K61" s="602"/>
      <c r="L61" s="538" t="str">
        <f t="shared" si="6"/>
        <v xml:space="preserve"> </v>
      </c>
      <c r="M61" s="538"/>
      <c r="N61" s="538">
        <f t="shared" si="7"/>
        <v>22160000</v>
      </c>
      <c r="O61" s="721" t="str">
        <f>IF(ISERROR(VLOOKUP(B61,'Base de Datos'!$C$7:$K$1048576,7,0))=TRUE," ",(VLOOKUP(B61,'Base de Datos'!$C$7:$K$1048576,8,0)))</f>
        <v>180204-0-2018</v>
      </c>
      <c r="P61" s="553">
        <f>IF(ISERROR(VLOOKUP(B61,'Base de Datos'!$C$7:$N$4330,9,0))=TRUE," ",(VLOOKUP(B61,'Base de Datos'!$C$7:$N$4330,10,0)))</f>
        <v>43280</v>
      </c>
      <c r="Q61" s="535" t="s">
        <v>544</v>
      </c>
      <c r="R61" s="553">
        <f>IF(ISERROR(VLOOKUP(B61,'Base de Datos'!$C$7:$N$4330,10,0))=TRUE," ",(VLOOKUP(B61,'Base de Datos'!$C$7:$N$4330,11,0)))</f>
        <v>43357</v>
      </c>
      <c r="S61" s="553">
        <f>IF(ISERROR(VLOOKUP(B61,'Base de Datos'!$C$7:$N$4330,11,0))=TRUE," ",(VLOOKUP(B61,'Base de Datos'!$C$7:$N$4330,12,0)))</f>
        <v>43721</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SI</v>
      </c>
      <c r="U63" s="724"/>
      <c r="V63" s="636"/>
    </row>
    <row r="64" spans="2:22" ht="15" customHeight="1" outlineLevel="1" x14ac:dyDescent="0.25">
      <c r="B64" s="539">
        <v>64</v>
      </c>
      <c r="C64" s="535" t="str">
        <f>IF(ISERROR(VLOOKUP(B64,'Base de Datos'!$C$7:$F$4345,2,0))=TRUE,"",(VLOOKUP('Presupuesto - PAA 2015'!B64,'Base de Datos'!$C$7:$F$4345,3,0)))</f>
        <v/>
      </c>
      <c r="D64" s="540" t="s">
        <v>1829</v>
      </c>
      <c r="E64" s="538">
        <f>VLOOKUP(B64,'[5]Abr 24-2015'!$C$53:$AA$327,24,0)</f>
        <v>8300000</v>
      </c>
      <c r="F64" s="536">
        <f>VLOOKUP(B64,'Actualizada - presupuesto'!$D$7:$L$111,9,0)</f>
        <v>0</v>
      </c>
      <c r="G64" s="536"/>
      <c r="H64" s="536"/>
      <c r="I64" s="536"/>
      <c r="J64" s="538" t="str">
        <f>IF(ISERROR(VLOOKUP(B64,'Base de Datos'!$C$7:$N$4345,6,0))=TRUE,"Sin Celebrar",(VLOOKUP(B64,'Base de Datos'!$C$7:$N$4345,7,0)))</f>
        <v>Sin Celebrar</v>
      </c>
      <c r="K64" s="602"/>
      <c r="L64" s="538">
        <f t="shared" si="6"/>
        <v>8300000</v>
      </c>
      <c r="M64" s="538"/>
      <c r="N64" s="538" t="str">
        <f t="shared" si="7"/>
        <v xml:space="preserve"> </v>
      </c>
      <c r="O64" s="721" t="str">
        <f>IF(ISERROR(VLOOKUP(B64,'Base de Datos'!$C$7:$K$1048576,7,0))=TRUE," ",(VLOOKUP(B64,'Base de Datos'!$C$7:$K$1048576,8,0)))</f>
        <v xml:space="preserve"> </v>
      </c>
      <c r="P64" s="553" t="str">
        <f>IF(ISERROR(VLOOKUP(B64,'Base de Datos'!$C$7:$N$4330,9,0))=TRUE," ",(VLOOKUP(B64,'Base de Datos'!$C$7:$N$4330,10,0)))</f>
        <v xml:space="preserve"> </v>
      </c>
      <c r="Q64" s="535" t="s">
        <v>544</v>
      </c>
      <c r="R64" s="553" t="str">
        <f>IF(ISERROR(VLOOKUP(B64,'Base de Datos'!$C$7:$N$4330,10,0))=TRUE," ",(VLOOKUP(B64,'Base de Datos'!$C$7:$N$4330,11,0)))</f>
        <v xml:space="preserve"> </v>
      </c>
      <c r="S64" s="553" t="str">
        <f>IF(ISERROR(VLOOKUP(B64,'Base de Datos'!$C$7:$N$4330,11,0))=TRUE," ",(VLOOKUP(B64,'Base de Datos'!$C$7:$N$4330,12,0)))</f>
        <v xml:space="preserve"> </v>
      </c>
      <c r="T64" s="535" t="e">
        <f>VLOOKUP(C64,'Base de Datos'!$E$7:$AR$382,39,0)</f>
        <v>#N/A</v>
      </c>
      <c r="U64" s="724"/>
      <c r="V64" s="636"/>
    </row>
    <row r="65" spans="2:22" ht="15" customHeight="1" outlineLevel="1" x14ac:dyDescent="0.25">
      <c r="B65" s="539">
        <v>65</v>
      </c>
      <c r="C65" s="535" t="s">
        <v>1159</v>
      </c>
      <c r="D65" s="540" t="s">
        <v>2380</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SI</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SI</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7"/>
      <c r="C73" s="1157"/>
      <c r="D73" s="1157"/>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7"/>
      <c r="C74" s="1157"/>
      <c r="D74" s="1157"/>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0" t="s">
        <v>1652</v>
      </c>
      <c r="C75" s="1160"/>
      <c r="D75" s="1160"/>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0" t="s">
        <v>1653</v>
      </c>
      <c r="C82" s="1160"/>
      <c r="D82" s="1160"/>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9" t="s">
        <v>1654</v>
      </c>
      <c r="C90" s="1159"/>
      <c r="D90" s="1159"/>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387755041</v>
      </c>
      <c r="M90" s="655">
        <v>0</v>
      </c>
      <c r="N90" s="569">
        <f>+N91+N100+N116+N139+N158+N175+N180+N188+N196+N204+N209</f>
        <v>326603554</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5" t="s">
        <v>1655</v>
      </c>
      <c r="C91" s="1155"/>
      <c r="D91" s="1155"/>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NO</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SI</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SI</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0" t="s">
        <v>1656</v>
      </c>
      <c r="C100" s="1160"/>
      <c r="D100" s="1160"/>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SI</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NO</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SI</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SI</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SI</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9" t="s">
        <v>1657</v>
      </c>
      <c r="C116" s="1159"/>
      <c r="D116" s="1159"/>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5" t="s">
        <v>1658</v>
      </c>
      <c r="C117" s="1155"/>
      <c r="D117" s="1155"/>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NO</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NO</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NO</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SI</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SI</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NO</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SI</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SI</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SI</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SI</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NO</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SI</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SI</v>
      </c>
      <c r="U134" s="724"/>
      <c r="V134" s="636"/>
    </row>
    <row r="135" spans="2:22" ht="24" outlineLevel="1" x14ac:dyDescent="0.25">
      <c r="B135" s="554">
        <v>327</v>
      </c>
      <c r="C135" s="535" t="s">
        <v>292</v>
      </c>
      <c r="D135" s="555" t="s">
        <v>2110</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9" t="s">
        <v>1659</v>
      </c>
      <c r="C139" s="1159"/>
      <c r="D139" s="1159"/>
      <c r="E139" s="559">
        <v>1513500000</v>
      </c>
      <c r="F139" s="560">
        <f>COUNTIF('Actualizada - presupuesto'!$E$7:$E$111,B139)</f>
        <v>0</v>
      </c>
      <c r="G139" s="560"/>
      <c r="H139" s="560"/>
      <c r="I139" s="560"/>
      <c r="J139" s="569">
        <v>1306122735</v>
      </c>
      <c r="K139" s="611">
        <f>J139/E139</f>
        <v>0.86298165510406344</v>
      </c>
      <c r="L139" s="569">
        <f>+L140+L147+L154</f>
        <v>200356421</v>
      </c>
      <c r="M139" s="569"/>
      <c r="N139" s="569">
        <f>+N140+N147+N154</f>
        <v>7020826</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5" t="s">
        <v>1660</v>
      </c>
      <c r="C140" s="1155"/>
      <c r="D140" s="1155"/>
      <c r="E140" s="583">
        <v>205193000</v>
      </c>
      <c r="F140" s="588">
        <f>COUNTIF('Actualizada - presupuesto'!$E$7:$E$111,B140)</f>
        <v>2</v>
      </c>
      <c r="G140" s="588"/>
      <c r="H140" s="588"/>
      <c r="I140" s="588"/>
      <c r="J140" s="735">
        <v>188702234</v>
      </c>
      <c r="K140" s="605">
        <f>J140/E140</f>
        <v>0.91963290170717327</v>
      </c>
      <c r="L140" s="583">
        <f>SUM(L142:L145)</f>
        <v>10010016</v>
      </c>
      <c r="M140" s="583"/>
      <c r="N140" s="583">
        <f>+E140-J140-L140</f>
        <v>6480750</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150302-0-2015</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Sin Celebrar</v>
      </c>
      <c r="K144" s="606"/>
      <c r="L144" s="556">
        <f>IF(J144=$AA$1,E144, " ")</f>
        <v>10010016</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0" t="s">
        <v>1661</v>
      </c>
      <c r="C147" s="1160"/>
      <c r="D147" s="1160"/>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150302-0-2015</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0" t="s">
        <v>1662</v>
      </c>
      <c r="C154" s="1160"/>
      <c r="D154" s="1160"/>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8" t="s">
        <v>1663</v>
      </c>
      <c r="C158" s="1158"/>
      <c r="D158" s="1158"/>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6" t="s">
        <v>1664</v>
      </c>
      <c r="C159" s="1156"/>
      <c r="D159" s="1156"/>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6" t="s">
        <v>1665</v>
      </c>
      <c r="C163" s="1156"/>
      <c r="D163" s="1156"/>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6" t="s">
        <v>1666</v>
      </c>
      <c r="C167" s="1156"/>
      <c r="D167" s="1156"/>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6" t="s">
        <v>1667</v>
      </c>
      <c r="C171" s="1156"/>
      <c r="D171" s="1156"/>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8" t="s">
        <v>1668</v>
      </c>
      <c r="C175" s="1158"/>
      <c r="D175" s="1158"/>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5" t="s">
        <v>1669</v>
      </c>
      <c r="C176" s="1155"/>
      <c r="D176" s="1155"/>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0" t="s">
        <v>1670</v>
      </c>
      <c r="C180" s="1160"/>
      <c r="D180" s="1160"/>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SI</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6" t="s">
        <v>1671</v>
      </c>
      <c r="C188" s="1166"/>
      <c r="D188" s="1166"/>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SI</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SI</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0" t="s">
        <v>1672</v>
      </c>
      <c r="C196" s="1160"/>
      <c r="D196" s="1160"/>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NO</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9" t="s">
        <v>1673</v>
      </c>
      <c r="C204" s="1159"/>
      <c r="D204" s="1159"/>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6" t="s">
        <v>1842</v>
      </c>
      <c r="C205" s="1156"/>
      <c r="D205" s="1156"/>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5" t="s">
        <v>1675</v>
      </c>
      <c r="C209" s="1155"/>
      <c r="D209" s="1155"/>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NO</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9" t="s">
        <v>1676</v>
      </c>
      <c r="C216" s="1159"/>
      <c r="D216" s="1159"/>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6" t="s">
        <v>1841</v>
      </c>
      <c r="C217" s="1156"/>
      <c r="D217" s="1156"/>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6" t="s">
        <v>2131</v>
      </c>
      <c r="C221" s="1156"/>
      <c r="D221" s="1156"/>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62" t="s">
        <v>1691</v>
      </c>
      <c r="C226" s="1162"/>
      <c r="D226" s="1162"/>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8" t="s">
        <v>1690</v>
      </c>
      <c r="C227" s="1158"/>
      <c r="D227" s="1158"/>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6" t="s">
        <v>1679</v>
      </c>
      <c r="C228" s="1156"/>
      <c r="D228" s="1156"/>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6" t="s">
        <v>1840</v>
      </c>
      <c r="C229" s="1156"/>
      <c r="D229" s="1156"/>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6" t="s">
        <v>1839</v>
      </c>
      <c r="C230" s="1156"/>
      <c r="D230" s="1156"/>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5" t="s">
        <v>1877</v>
      </c>
      <c r="C231" s="1155"/>
      <c r="D231" s="1155"/>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8" t="s">
        <v>1913</v>
      </c>
      <c r="D233" s="1158"/>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64" t="s">
        <v>1914</v>
      </c>
      <c r="D234" s="1165"/>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NO</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NO</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8" t="s">
        <v>1917</v>
      </c>
      <c r="D241" s="1158"/>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63" t="s">
        <v>1918</v>
      </c>
      <c r="D242" s="1163"/>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63" t="s">
        <v>1920</v>
      </c>
      <c r="D244" s="1163"/>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63" t="s">
        <v>1926</v>
      </c>
      <c r="D249" s="1163"/>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1" t="s">
        <v>1928</v>
      </c>
      <c r="D251" s="1161"/>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1" t="s">
        <v>1936</v>
      </c>
      <c r="D264" s="1161"/>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7" t="s">
        <v>2130</v>
      </c>
      <c r="C270" s="1167"/>
      <c r="D270" s="1167"/>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75" t="s">
        <v>1786</v>
      </c>
      <c r="C271" s="1175"/>
      <c r="D271" s="1175"/>
      <c r="E271" s="731" t="s">
        <v>2133</v>
      </c>
      <c r="F271" s="731" t="s">
        <v>2134</v>
      </c>
      <c r="G271" s="731" t="s">
        <v>1900</v>
      </c>
      <c r="H271" s="731" t="s">
        <v>1901</v>
      </c>
      <c r="I271" s="731" t="s">
        <v>1843</v>
      </c>
      <c r="J271" s="731" t="s">
        <v>2135</v>
      </c>
      <c r="K271" s="718" t="s">
        <v>1903</v>
      </c>
      <c r="L271" s="731" t="s">
        <v>2139</v>
      </c>
      <c r="M271" s="731" t="s">
        <v>1905</v>
      </c>
      <c r="N271" s="731" t="s">
        <v>1907</v>
      </c>
      <c r="O271" s="719" t="s">
        <v>2138</v>
      </c>
      <c r="P271" s="720" t="s">
        <v>1821</v>
      </c>
      <c r="Q271" s="731" t="s">
        <v>1851</v>
      </c>
      <c r="R271" s="731" t="s">
        <v>1852</v>
      </c>
      <c r="S271" s="731" t="s">
        <v>375</v>
      </c>
      <c r="T271" s="731" t="s">
        <v>1853</v>
      </c>
    </row>
    <row r="272" spans="2:22" hidden="1" x14ac:dyDescent="0.25">
      <c r="B272" s="1162" t="s">
        <v>1689</v>
      </c>
      <c r="C272" s="1162"/>
      <c r="D272" s="1162"/>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62" t="s">
        <v>1687</v>
      </c>
      <c r="C273" s="1162"/>
      <c r="D273" s="1162"/>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8" t="s">
        <v>1686</v>
      </c>
      <c r="C274" s="1158"/>
      <c r="D274" s="1158"/>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8" t="s">
        <v>1685</v>
      </c>
      <c r="C275" s="1158"/>
      <c r="D275" s="1158"/>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8" t="s">
        <v>1684</v>
      </c>
      <c r="C276" s="1158"/>
      <c r="D276" s="1158"/>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5" t="s">
        <v>1646</v>
      </c>
      <c r="C277" s="1155"/>
      <c r="D277" s="1155"/>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5" t="s">
        <v>1648</v>
      </c>
      <c r="C285" s="1155"/>
      <c r="D285" s="1155"/>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8" t="s">
        <v>1796</v>
      </c>
      <c r="C289" s="1158"/>
      <c r="D289" s="1158"/>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8" t="s">
        <v>1650</v>
      </c>
      <c r="C290" s="1158"/>
      <c r="D290" s="1158"/>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5" t="s">
        <v>1651</v>
      </c>
      <c r="C291" s="1155"/>
      <c r="D291" s="1155"/>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5" t="s">
        <v>1652</v>
      </c>
      <c r="C300" s="1155"/>
      <c r="D300" s="1155"/>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5" t="s">
        <v>1653</v>
      </c>
      <c r="C307" s="1155"/>
      <c r="D307" s="1155"/>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8" t="s">
        <v>1654</v>
      </c>
      <c r="C312" s="1158"/>
      <c r="D312" s="1158"/>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5" t="s">
        <v>2143</v>
      </c>
      <c r="C313" s="1155"/>
      <c r="D313" s="1155"/>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5" t="s">
        <v>1655</v>
      </c>
      <c r="C317" s="1155"/>
      <c r="D317" s="1155"/>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5" t="s">
        <v>1656</v>
      </c>
      <c r="C323" s="1155"/>
      <c r="D323" s="1155"/>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8" t="s">
        <v>1657</v>
      </c>
      <c r="C327" s="1158"/>
      <c r="D327" s="1158"/>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5" t="s">
        <v>1658</v>
      </c>
      <c r="C328" s="1155"/>
      <c r="D328" s="1155"/>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8" t="s">
        <v>1659</v>
      </c>
      <c r="C347" s="1158"/>
      <c r="D347" s="1158"/>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5" t="s">
        <v>1660</v>
      </c>
      <c r="C348" s="1155"/>
      <c r="D348" s="1155"/>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8" t="s">
        <v>1668</v>
      </c>
      <c r="C353" s="1158"/>
      <c r="D353" s="1158"/>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5" t="s">
        <v>1669</v>
      </c>
      <c r="C354" s="1155"/>
      <c r="D354" s="1155"/>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5" t="s">
        <v>1670</v>
      </c>
      <c r="C359" s="1155"/>
      <c r="D359" s="1155"/>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76" t="s">
        <v>1671</v>
      </c>
      <c r="C363" s="1176"/>
      <c r="D363" s="1176"/>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5" t="s">
        <v>1672</v>
      </c>
      <c r="C368" s="1155"/>
      <c r="D368" s="1155"/>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5" t="s">
        <v>1675</v>
      </c>
      <c r="C373" s="1155"/>
      <c r="D373" s="1155"/>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8" t="s">
        <v>1676</v>
      </c>
      <c r="C378" s="1158"/>
      <c r="D378" s="1158"/>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5" t="s">
        <v>2131</v>
      </c>
      <c r="C379" s="1155"/>
      <c r="D379" s="1155"/>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62" t="s">
        <v>1691</v>
      </c>
      <c r="C383" s="1162"/>
      <c r="D383" s="1162"/>
      <c r="E383" s="543">
        <f t="shared" ref="E383:F387" si="19">+E384</f>
        <v>3039996697</v>
      </c>
      <c r="F383" s="543">
        <f t="shared" si="19"/>
        <v>4055604697</v>
      </c>
      <c r="G383" s="543">
        <f t="shared" ref="G383:N387" si="20">+G384</f>
        <v>7542477000</v>
      </c>
      <c r="H383" s="543">
        <f t="shared" si="20"/>
        <v>0</v>
      </c>
      <c r="I383" s="543">
        <f t="shared" si="20"/>
        <v>7542477000</v>
      </c>
      <c r="J383" s="543">
        <f t="shared" si="20"/>
        <v>3870934898</v>
      </c>
      <c r="K383" s="585">
        <f t="shared" si="20"/>
        <v>0.95446553281275082</v>
      </c>
      <c r="L383" s="543">
        <f t="shared" si="20"/>
        <v>184669799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8" t="s">
        <v>1690</v>
      </c>
      <c r="C384" s="1158"/>
      <c r="D384" s="1158"/>
      <c r="E384" s="541">
        <f t="shared" si="19"/>
        <v>3039996697</v>
      </c>
      <c r="F384" s="541">
        <f t="shared" si="19"/>
        <v>4055604697</v>
      </c>
      <c r="G384" s="545">
        <f t="shared" si="20"/>
        <v>7542477000</v>
      </c>
      <c r="H384" s="545">
        <f t="shared" si="20"/>
        <v>0</v>
      </c>
      <c r="I384" s="545">
        <f t="shared" si="20"/>
        <v>7542477000</v>
      </c>
      <c r="J384" s="545">
        <f t="shared" si="20"/>
        <v>3870934898</v>
      </c>
      <c r="K384" s="603">
        <f t="shared" si="20"/>
        <v>0.95446553281275082</v>
      </c>
      <c r="L384" s="545">
        <f t="shared" si="20"/>
        <v>184669799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6" t="s">
        <v>1679</v>
      </c>
      <c r="C385" s="1156"/>
      <c r="D385" s="1156"/>
      <c r="E385" s="545">
        <f t="shared" si="19"/>
        <v>3039996697</v>
      </c>
      <c r="F385" s="545">
        <f t="shared" si="19"/>
        <v>4055604697</v>
      </c>
      <c r="G385" s="545">
        <f t="shared" si="20"/>
        <v>7542477000</v>
      </c>
      <c r="H385" s="545">
        <f t="shared" si="20"/>
        <v>0</v>
      </c>
      <c r="I385" s="545">
        <f t="shared" si="20"/>
        <v>7542477000</v>
      </c>
      <c r="J385" s="545">
        <f t="shared" si="20"/>
        <v>3870934898</v>
      </c>
      <c r="K385" s="603">
        <f t="shared" si="20"/>
        <v>0.95446553281275082</v>
      </c>
      <c r="L385" s="545">
        <f t="shared" si="20"/>
        <v>184669799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6" t="s">
        <v>1840</v>
      </c>
      <c r="C386" s="1156"/>
      <c r="D386" s="1156"/>
      <c r="E386" s="545">
        <f t="shared" si="19"/>
        <v>3039996697</v>
      </c>
      <c r="F386" s="545">
        <f t="shared" si="19"/>
        <v>4055604697</v>
      </c>
      <c r="G386" s="545">
        <f t="shared" si="20"/>
        <v>7542477000</v>
      </c>
      <c r="H386" s="545">
        <f t="shared" si="20"/>
        <v>0</v>
      </c>
      <c r="I386" s="545">
        <f t="shared" si="20"/>
        <v>7542477000</v>
      </c>
      <c r="J386" s="545">
        <f t="shared" si="20"/>
        <v>3870934898</v>
      </c>
      <c r="K386" s="603">
        <f t="shared" si="20"/>
        <v>0.95446553281275082</v>
      </c>
      <c r="L386" s="545">
        <f t="shared" si="20"/>
        <v>184669799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6" t="s">
        <v>1839</v>
      </c>
      <c r="C387" s="1156"/>
      <c r="D387" s="1156"/>
      <c r="E387" s="545">
        <f t="shared" si="19"/>
        <v>3039996697</v>
      </c>
      <c r="F387" s="545">
        <f t="shared" si="19"/>
        <v>4055604697</v>
      </c>
      <c r="G387" s="545">
        <f t="shared" si="20"/>
        <v>7542477000</v>
      </c>
      <c r="H387" s="545">
        <f t="shared" si="20"/>
        <v>0</v>
      </c>
      <c r="I387" s="545">
        <f t="shared" si="20"/>
        <v>7542477000</v>
      </c>
      <c r="J387" s="545">
        <f t="shared" si="20"/>
        <v>3870934898</v>
      </c>
      <c r="K387" s="603">
        <f t="shared" si="20"/>
        <v>0.95446553281275082</v>
      </c>
      <c r="L387" s="545">
        <f t="shared" si="20"/>
        <v>184669799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5" t="s">
        <v>1877</v>
      </c>
      <c r="C388" s="1155"/>
      <c r="D388" s="1155"/>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84" t="s">
        <v>1944</v>
      </c>
      <c r="C1" s="1184"/>
      <c r="D1" s="1184"/>
      <c r="E1" s="1184"/>
      <c r="F1" s="1184"/>
      <c r="G1" s="1184"/>
      <c r="H1" s="1184"/>
      <c r="I1" s="1184"/>
      <c r="J1" s="1184"/>
      <c r="K1" s="1184"/>
      <c r="L1" s="1184"/>
      <c r="M1" s="1184"/>
      <c r="N1" s="1184"/>
    </row>
    <row r="2" spans="1:14" ht="42.75" customHeight="1" x14ac:dyDescent="0.25">
      <c r="A2" s="656"/>
      <c r="B2" s="1185" t="s">
        <v>1786</v>
      </c>
      <c r="C2" s="1185"/>
      <c r="D2" s="1185"/>
      <c r="E2" s="546" t="s">
        <v>1845</v>
      </c>
      <c r="F2" s="546" t="s">
        <v>2163</v>
      </c>
      <c r="G2" s="546" t="s">
        <v>1900</v>
      </c>
      <c r="H2" s="546" t="s">
        <v>1901</v>
      </c>
      <c r="I2" s="546" t="s">
        <v>1843</v>
      </c>
      <c r="J2" s="546" t="s">
        <v>2189</v>
      </c>
      <c r="K2" s="601" t="s">
        <v>1903</v>
      </c>
      <c r="L2" s="546" t="s">
        <v>1904</v>
      </c>
      <c r="M2" s="546" t="s">
        <v>1905</v>
      </c>
      <c r="N2" s="546" t="s">
        <v>1907</v>
      </c>
    </row>
    <row r="3" spans="1:14" x14ac:dyDescent="0.25">
      <c r="A3" s="656"/>
      <c r="B3" s="1162" t="s">
        <v>1689</v>
      </c>
      <c r="C3" s="1162"/>
      <c r="D3" s="1162"/>
      <c r="E3" s="544"/>
      <c r="F3" s="543">
        <f>VLOOKUP(B3,'Presupuesto - PAA 2015'!$B$3:$N$265,4,0)</f>
        <v>31035477000</v>
      </c>
      <c r="G3" s="543">
        <v>29809977000</v>
      </c>
      <c r="H3" s="543"/>
      <c r="I3" s="543">
        <v>29809977000</v>
      </c>
      <c r="J3" s="543">
        <f>VLOOKUP(B3,'Presupuesto - PAA 2015'!$B$3:$N$265,9,0)</f>
        <v>27321544236.200001</v>
      </c>
      <c r="K3" s="648">
        <f>VLOOKUP(B3,'Presupuesto - PAA 2015'!$B$3:$N$265,10,0)</f>
        <v>0.88033266690890555</v>
      </c>
      <c r="L3" s="543">
        <f>VLOOKUP(B3,'Presupuesto - PAA 2015'!$B$3:$N$265,11,0)</f>
        <v>3126073772</v>
      </c>
      <c r="M3" s="543">
        <f>VLOOKUP(B3,'Presupuesto - PAA 2015'!$B$3:$N$265,12,0)</f>
        <v>127070622</v>
      </c>
      <c r="N3" s="543">
        <f>VLOOKUP(B3,'Presupuesto - PAA 2015'!$B$3:$N$265,13,0)</f>
        <v>571062057.80000019</v>
      </c>
    </row>
    <row r="4" spans="1:14" x14ac:dyDescent="0.25">
      <c r="A4" s="656"/>
      <c r="B4" s="1176" t="s">
        <v>1687</v>
      </c>
      <c r="C4" s="1176"/>
      <c r="D4" s="1176"/>
      <c r="E4" s="588"/>
      <c r="F4" s="659">
        <f>VLOOKUP(B4,'Presupuesto - PAA 2015'!$B$3:$N$265,4,0)</f>
        <v>22793000000</v>
      </c>
      <c r="G4" s="659">
        <v>22267500000</v>
      </c>
      <c r="H4" s="659">
        <v>288614000</v>
      </c>
      <c r="I4" s="659">
        <v>22267500000</v>
      </c>
      <c r="J4" s="659">
        <f>VLOOKUP(B4,'Presupuesto - PAA 2015'!$B$3:$N$265,9,0)</f>
        <v>19663634034</v>
      </c>
      <c r="K4" s="667">
        <f>VLOOKUP(B4,'Presupuesto - PAA 2015'!$B$3:$N$265,10,0)</f>
        <v>0.86270495476681441</v>
      </c>
      <c r="L4" s="659">
        <f>VLOOKUP(B4,'Presupuesto - PAA 2015'!$B$3:$N$265,11,0)</f>
        <v>2675596772</v>
      </c>
      <c r="M4" s="659">
        <f>VLOOKUP(B4,'Presupuesto - PAA 2015'!$B$3:$N$265,12,0)</f>
        <v>127070622</v>
      </c>
      <c r="N4" s="659">
        <f>VLOOKUP(B4,'Presupuesto - PAA 2015'!$B$3:$N$265,13,0)</f>
        <v>436972260</v>
      </c>
    </row>
    <row r="5" spans="1:14" x14ac:dyDescent="0.25">
      <c r="A5" s="656"/>
      <c r="B5" s="1183" t="s">
        <v>1686</v>
      </c>
      <c r="C5" s="1183"/>
      <c r="D5" s="1183"/>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83" t="s">
        <v>1685</v>
      </c>
      <c r="C6" s="1183"/>
      <c r="D6" s="1183"/>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182" t="s">
        <v>1684</v>
      </c>
      <c r="C7" s="1182"/>
      <c r="D7" s="1182"/>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180" t="s">
        <v>1646</v>
      </c>
      <c r="C8" s="1180"/>
      <c r="D8" s="1180"/>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180" t="s">
        <v>1647</v>
      </c>
      <c r="C9" s="1180"/>
      <c r="D9" s="1180"/>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180" t="s">
        <v>1648</v>
      </c>
      <c r="C10" s="1180"/>
      <c r="D10" s="1180"/>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182" t="s">
        <v>1796</v>
      </c>
      <c r="C11" s="1182"/>
      <c r="D11" s="1182"/>
      <c r="E11" s="660"/>
      <c r="F11" s="661">
        <f>VLOOKUP(B11,'Presupuesto - PAA 2015'!$B$3:$N$265,4,0)</f>
        <v>9151221000</v>
      </c>
      <c r="G11" s="661">
        <v>8664000000</v>
      </c>
      <c r="H11" s="661">
        <v>140614000</v>
      </c>
      <c r="I11" s="661">
        <v>8772000000</v>
      </c>
      <c r="J11" s="661">
        <f>VLOOKUP(B11,'Presupuesto - PAA 2015'!$B$3:$N$265,9,0)</f>
        <v>8250268982</v>
      </c>
      <c r="K11" s="671">
        <f>VLOOKUP(B11,'Presupuesto - PAA 2015'!$B$3:$N$265,10,0)</f>
        <v>0.90154843621414016</v>
      </c>
      <c r="L11" s="661">
        <f>VLOOKUP(B11,'Presupuesto - PAA 2015'!$B$3:$N$265,11,0)</f>
        <v>450431852</v>
      </c>
      <c r="M11" s="661">
        <f>VLOOKUP(B11,'Presupuesto - PAA 2015'!$B$3:$N$265,12,0)</f>
        <v>123821594</v>
      </c>
      <c r="N11" s="661">
        <f>VLOOKUP(B11,'Presupuesto - PAA 2015'!$B$3:$N$265,13,0)</f>
        <v>433723232</v>
      </c>
    </row>
    <row r="12" spans="1:14" x14ac:dyDescent="0.25">
      <c r="A12" s="656"/>
      <c r="B12" s="1181" t="s">
        <v>1650</v>
      </c>
      <c r="C12" s="1181"/>
      <c r="D12" s="1181"/>
      <c r="E12" s="662"/>
      <c r="F12" s="663">
        <f>VLOOKUP(B12,'Presupuesto - PAA 2015'!$B$3:$N$265,4,0)</f>
        <v>2089000000</v>
      </c>
      <c r="G12" s="663">
        <v>1589000000</v>
      </c>
      <c r="H12" s="663">
        <v>0</v>
      </c>
      <c r="I12" s="663">
        <v>1589000000</v>
      </c>
      <c r="J12" s="663">
        <f>VLOOKUP(B12,'Presupuesto - PAA 2015'!$B$3:$N$265,9,0)</f>
        <v>1937498061</v>
      </c>
      <c r="K12" s="674">
        <f>VLOOKUP(B12,'Presupuesto - PAA 2015'!$B$3:$N$265,10,0)</f>
        <v>0</v>
      </c>
      <c r="L12" s="663">
        <f>VLOOKUP(B12,'Presupuesto - PAA 2015'!$B$3:$N$265,11,0)</f>
        <v>62585345</v>
      </c>
      <c r="M12" s="663">
        <f>VLOOKUP(B12,'Presupuesto - PAA 2015'!$B$3:$N$265,12,0)</f>
        <v>123821594</v>
      </c>
      <c r="N12" s="663">
        <f>VLOOKUP(B12,'Presupuesto - PAA 2015'!$B$3:$N$265,13,0)</f>
        <v>88916594</v>
      </c>
    </row>
    <row r="13" spans="1:14" x14ac:dyDescent="0.25">
      <c r="A13" s="656"/>
      <c r="B13" s="1180" t="s">
        <v>1651</v>
      </c>
      <c r="C13" s="1180"/>
      <c r="D13" s="1180"/>
      <c r="E13" s="488">
        <f>COUNTIF('Actualizada - presupuesto'!$E$7:$E$111,B13)</f>
        <v>15</v>
      </c>
      <c r="F13" s="668">
        <f>VLOOKUP(B13,'Presupuesto - PAA 2015'!$B$3:$N$265,4,0)</f>
        <v>1414000000</v>
      </c>
      <c r="G13" s="582">
        <v>914000000</v>
      </c>
      <c r="H13" s="582"/>
      <c r="I13" s="582">
        <v>914000000</v>
      </c>
      <c r="J13" s="668">
        <f>VLOOKUP(B13,'Presupuesto - PAA 2015'!$B$3:$N$265,9,0)</f>
        <v>1242381061</v>
      </c>
      <c r="K13" s="669">
        <f>VLOOKUP(B13,'Presupuesto - PAA 2015'!$B$3:$N$265,10,0)</f>
        <v>0.8786287560113154</v>
      </c>
      <c r="L13" s="668">
        <f>VLOOKUP(B13,'Presupuesto - PAA 2015'!$B$3:$N$265,11,0)</f>
        <v>62585345</v>
      </c>
      <c r="M13" s="668">
        <f>VLOOKUP(B13,'Presupuesto - PAA 2015'!$B$3:$N$265,12,0)</f>
        <v>109033594</v>
      </c>
      <c r="N13" s="668">
        <f>VLOOKUP(B13,'Presupuesto - PAA 2015'!$B$3:$N$265,13,0)</f>
        <v>109033594</v>
      </c>
    </row>
    <row r="14" spans="1:14" x14ac:dyDescent="0.25">
      <c r="A14" s="656"/>
      <c r="B14" s="1180" t="s">
        <v>1652</v>
      </c>
      <c r="C14" s="1180"/>
      <c r="D14" s="1180"/>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180" t="s">
        <v>1653</v>
      </c>
      <c r="C15" s="1180"/>
      <c r="D15" s="1180"/>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181" t="s">
        <v>1654</v>
      </c>
      <c r="C16" s="1181"/>
      <c r="D16" s="1181"/>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387755041</v>
      </c>
      <c r="M16" s="663">
        <f>VLOOKUP(B16,'Presupuesto - PAA 2015'!$B$3:$N$265,12,0)</f>
        <v>0</v>
      </c>
      <c r="N16" s="663">
        <f>VLOOKUP(B16,'Presupuesto - PAA 2015'!$B$3:$N$265,13,0)</f>
        <v>326603554</v>
      </c>
    </row>
    <row r="17" spans="1:14" x14ac:dyDescent="0.25">
      <c r="A17" s="656"/>
      <c r="B17" s="1156" t="s">
        <v>1655</v>
      </c>
      <c r="C17" s="1156"/>
      <c r="D17" s="1156"/>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56" t="s">
        <v>1656</v>
      </c>
      <c r="C18" s="1156"/>
      <c r="D18" s="1156"/>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56" t="s">
        <v>1657</v>
      </c>
      <c r="C19" s="1156"/>
      <c r="D19" s="1156"/>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180" t="s">
        <v>1658</v>
      </c>
      <c r="C20" s="1180"/>
      <c r="D20" s="1180"/>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56" t="s">
        <v>1659</v>
      </c>
      <c r="C21" s="1156"/>
      <c r="D21" s="1156"/>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200356421</v>
      </c>
      <c r="M21" s="541">
        <f>VLOOKUP(B21,'Presupuesto - PAA 2015'!$B$3:$N$265,12,0)</f>
        <v>0</v>
      </c>
      <c r="N21" s="541">
        <f>VLOOKUP(B21,'Presupuesto - PAA 2015'!$B$3:$N$265,13,0)</f>
        <v>7020826</v>
      </c>
    </row>
    <row r="22" spans="1:14" ht="23.25" customHeight="1" x14ac:dyDescent="0.25">
      <c r="A22" s="656"/>
      <c r="B22" s="1180" t="s">
        <v>1660</v>
      </c>
      <c r="C22" s="1180"/>
      <c r="D22" s="1180"/>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10010016</v>
      </c>
      <c r="M22" s="668">
        <f>VLOOKUP(B22,'Presupuesto - PAA 2015'!$B$3:$N$265,12,0)</f>
        <v>0</v>
      </c>
      <c r="N22" s="668">
        <f>VLOOKUP(B22,'Presupuesto - PAA 2015'!$B$3:$N$265,13,0)</f>
        <v>6480750</v>
      </c>
    </row>
    <row r="23" spans="1:14" ht="23.25" customHeight="1" x14ac:dyDescent="0.25">
      <c r="A23" s="656"/>
      <c r="B23" s="1180" t="s">
        <v>1661</v>
      </c>
      <c r="C23" s="1180"/>
      <c r="D23" s="1180"/>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180" t="s">
        <v>1662</v>
      </c>
      <c r="C24" s="1180"/>
      <c r="D24" s="1180"/>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56" t="s">
        <v>1663</v>
      </c>
      <c r="C25" s="1156"/>
      <c r="D25" s="1156"/>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180" t="s">
        <v>1664</v>
      </c>
      <c r="C26" s="1180"/>
      <c r="D26" s="1180"/>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180" t="s">
        <v>1665</v>
      </c>
      <c r="C27" s="1180"/>
      <c r="D27" s="1180"/>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180" t="s">
        <v>1666</v>
      </c>
      <c r="C28" s="1180"/>
      <c r="D28" s="1180"/>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180" t="s">
        <v>1667</v>
      </c>
      <c r="C29" s="1180"/>
      <c r="D29" s="1180"/>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56" t="s">
        <v>1668</v>
      </c>
      <c r="C30" s="1156"/>
      <c r="D30" s="1156"/>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180" t="s">
        <v>1669</v>
      </c>
      <c r="C31" s="1180"/>
      <c r="D31" s="1180"/>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56" t="s">
        <v>1670</v>
      </c>
      <c r="C32" s="1156"/>
      <c r="D32" s="1156"/>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56" t="s">
        <v>1671</v>
      </c>
      <c r="C33" s="1156"/>
      <c r="D33" s="1156"/>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56" t="s">
        <v>1672</v>
      </c>
      <c r="C34" s="1156"/>
      <c r="D34" s="1156"/>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56" t="s">
        <v>1673</v>
      </c>
      <c r="C35" s="1156"/>
      <c r="D35" s="1156"/>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180" t="s">
        <v>1842</v>
      </c>
      <c r="C36" s="1180"/>
      <c r="D36" s="1180"/>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56" t="s">
        <v>1675</v>
      </c>
      <c r="C37" s="1156"/>
      <c r="D37" s="1156"/>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181" t="s">
        <v>1676</v>
      </c>
      <c r="C38" s="1181"/>
      <c r="D38" s="1181"/>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180" t="s">
        <v>1841</v>
      </c>
      <c r="C39" s="1180"/>
      <c r="D39" s="1180"/>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76" t="s">
        <v>1691</v>
      </c>
      <c r="C40" s="1176"/>
      <c r="D40" s="1176"/>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58" t="s">
        <v>1690</v>
      </c>
      <c r="C41" s="1158"/>
      <c r="D41" s="1158"/>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56" t="s">
        <v>1679</v>
      </c>
      <c r="C42" s="1156"/>
      <c r="D42" s="1156"/>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56" t="s">
        <v>1840</v>
      </c>
      <c r="C43" s="1156"/>
      <c r="D43" s="1156"/>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56" t="s">
        <v>1839</v>
      </c>
      <c r="C44" s="1156"/>
      <c r="D44" s="1156"/>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179" t="s">
        <v>1877</v>
      </c>
      <c r="C45" s="1179"/>
      <c r="D45" s="1179"/>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58" t="s">
        <v>1913</v>
      </c>
      <c r="D46" s="1158"/>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177" t="s">
        <v>1914</v>
      </c>
      <c r="D47" s="1178"/>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58" t="s">
        <v>1917</v>
      </c>
      <c r="D50" s="1158"/>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63" t="s">
        <v>1918</v>
      </c>
      <c r="D51" s="1163"/>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63" t="s">
        <v>1920</v>
      </c>
      <c r="D53" s="1163"/>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63" t="s">
        <v>1926</v>
      </c>
      <c r="D58" s="1163"/>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61" t="s">
        <v>1928</v>
      </c>
      <c r="D60" s="1161"/>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177" t="s">
        <v>1936</v>
      </c>
      <c r="D69" s="1178"/>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68" t="s">
        <v>2281</v>
      </c>
      <c r="C1" s="1169"/>
      <c r="D1" s="1169"/>
      <c r="E1" s="1169"/>
      <c r="F1" s="1169"/>
      <c r="G1" s="1169"/>
      <c r="H1" s="1169"/>
      <c r="I1" s="1169"/>
      <c r="J1" s="1169"/>
      <c r="K1" s="1169"/>
      <c r="L1" s="1169"/>
      <c r="M1" s="1169"/>
      <c r="N1" s="1169"/>
      <c r="O1" s="1169"/>
      <c r="P1" s="1169"/>
      <c r="Q1" s="1169"/>
      <c r="R1" s="1169"/>
      <c r="S1" s="1170"/>
      <c r="Z1" s="537" t="s">
        <v>1906</v>
      </c>
    </row>
    <row r="2" spans="2:26" ht="33.75" customHeight="1" x14ac:dyDescent="0.25">
      <c r="B2" s="1175" t="s">
        <v>1786</v>
      </c>
      <c r="C2" s="1175"/>
      <c r="D2" s="1175"/>
      <c r="E2" s="1175"/>
      <c r="F2" s="775" t="s">
        <v>2415</v>
      </c>
      <c r="G2" s="720" t="s">
        <v>2348</v>
      </c>
      <c r="H2" s="1191" t="s">
        <v>1845</v>
      </c>
      <c r="I2" s="1192"/>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62" t="s">
        <v>1689</v>
      </c>
      <c r="C3" s="1162"/>
      <c r="D3" s="1162"/>
      <c r="E3" s="1162"/>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62" t="s">
        <v>1687</v>
      </c>
      <c r="C4" s="1162"/>
      <c r="D4" s="1162"/>
      <c r="E4" s="1162"/>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58" t="s">
        <v>1686</v>
      </c>
      <c r="C5" s="1158"/>
      <c r="D5" s="1158"/>
      <c r="E5" s="1158"/>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76" t="s">
        <v>1685</v>
      </c>
      <c r="C6" s="1176"/>
      <c r="D6" s="1176"/>
      <c r="E6" s="1176"/>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186" t="s">
        <v>1684</v>
      </c>
      <c r="C7" s="1186"/>
      <c r="D7" s="1186"/>
      <c r="E7" s="1186"/>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188" t="s">
        <v>1646</v>
      </c>
      <c r="C8" s="1188"/>
      <c r="D8" s="1188"/>
      <c r="E8" s="1188"/>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2347</v>
      </c>
      <c r="C9" s="629" t="s">
        <v>2358</v>
      </c>
      <c r="D9" s="629" t="s">
        <v>912</v>
      </c>
      <c r="E9" s="629" t="s">
        <v>1825</v>
      </c>
      <c r="F9" s="778" t="s">
        <v>1849</v>
      </c>
      <c r="G9" s="814" t="s">
        <v>2349</v>
      </c>
      <c r="H9" s="814" t="s">
        <v>2353</v>
      </c>
      <c r="I9" s="536" t="s">
        <v>2354</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2282</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2283</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2284</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2079</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2284</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2079</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2285</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2079</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2286</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2287</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2079</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2284</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2288</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2079</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2289</v>
      </c>
      <c r="F19" s="582">
        <v>65564000</v>
      </c>
      <c r="G19" s="814">
        <v>42358</v>
      </c>
      <c r="H19" s="814"/>
      <c r="I19" s="835" t="str">
        <f ca="1">IF(H19=Hoja1!$J$2," ",(IF(MONTH(G19)=MONTH(TODAY()),IF(DAY(G19)&gt;DAY(TODAY()),"Quedan "&amp;ABS(DAY(G19)-DAY(TODAY()))&amp;" Días","Hace "&amp;ABS(DAY(G19)-DAY(TODAY()))&amp;" Días"),"")))</f>
        <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2290</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2079</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2291</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2079</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2292</v>
      </c>
      <c r="F22" s="582">
        <v>65564000</v>
      </c>
      <c r="G22" s="814">
        <v>42353</v>
      </c>
      <c r="H22" s="814"/>
      <c r="I22" s="835" t="str">
        <f ca="1">IF(H22=Hoja1!$J$2," ",(IF(MONTH(G22)=MONTH(TODAY()),IF(DAY(G22)&gt;DAY(TODAY()),"Quedan "&amp;ABS(DAY(G22)-DAY(TODAY()))&amp;" Días","Hace "&amp;ABS(DAY(G22)-DAY(TODAY()))&amp;" Días"),"")))</f>
        <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2396</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2395</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2397</v>
      </c>
      <c r="F25" s="582">
        <v>6860000</v>
      </c>
      <c r="G25" s="814">
        <v>42583</v>
      </c>
      <c r="H25" s="814"/>
      <c r="I25" s="835" t="str">
        <f ca="1">IF(H25=Hoja1!$J$2," ",(IF(MONTH(G25)=MONTH(TODAY()),IF(DAY(G25)&gt;DAY(TODAY()),"Quedan "&amp;ABS(DAY(G25)-DAY(TODAY()))&amp;" Días","Hace "&amp;ABS(DAY(G25)-DAY(TODAY()))&amp;" Días"),"")))</f>
        <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2293</v>
      </c>
      <c r="F26" s="582">
        <v>7946000</v>
      </c>
      <c r="G26" s="814">
        <v>42449</v>
      </c>
      <c r="H26" s="814"/>
      <c r="I26" s="835" t="str">
        <f ca="1">IF(H26=Hoja1!$J$2," ",(IF(MONTH(G26)=MONTH(TODAY()),IF(DAY(G26)&gt;DAY(TODAY()),"Quedan "&amp;ABS(DAY(G26)-DAY(TODAY()))&amp;" Días","Hace "&amp;ABS(DAY(G26)-DAY(TODAY()))&amp;" Días"),"")))</f>
        <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2355</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2294</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2355</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188" t="s">
        <v>1647</v>
      </c>
      <c r="C30" s="1188"/>
      <c r="D30" s="1188"/>
      <c r="E30" s="1188"/>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186" t="s">
        <v>1648</v>
      </c>
      <c r="C33" s="1186"/>
      <c r="D33" s="1186"/>
      <c r="E33" s="1186"/>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2347</v>
      </c>
      <c r="C34" s="629"/>
      <c r="D34" s="629" t="s">
        <v>912</v>
      </c>
      <c r="E34" s="629" t="s">
        <v>1825</v>
      </c>
      <c r="F34" s="778" t="s">
        <v>1849</v>
      </c>
      <c r="G34" s="814" t="s">
        <v>2349</v>
      </c>
      <c r="H34" s="814" t="s">
        <v>2353</v>
      </c>
      <c r="I34" s="536" t="s">
        <v>2354</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2295</v>
      </c>
      <c r="F35" s="556">
        <v>22248000</v>
      </c>
      <c r="G35" s="819">
        <v>42348</v>
      </c>
      <c r="H35" s="814"/>
      <c r="I35" s="835" t="str">
        <f ca="1">IF(H35=Hoja1!$J$2," ",(IF(MONTH(G35)=MONTH(TODAY()),IF(DAY(G35)&gt;DAY(TODAY()),"Quedan "&amp;ABS(DAY(G35)-DAY(TODAY()))&amp;" Días","Hace "&amp;ABS(DAY(G35)-DAY(TODAY()))&amp;" Días"),"")))</f>
        <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2079</v>
      </c>
      <c r="T35" s="724"/>
      <c r="U35" s="636"/>
    </row>
    <row r="36" spans="2:21" ht="24" outlineLevel="1" x14ac:dyDescent="0.25">
      <c r="B36" s="554">
        <v>132</v>
      </c>
      <c r="C36" s="629" t="str">
        <f>$W$6&amp;B36</f>
        <v>2016132</v>
      </c>
      <c r="D36" s="535" t="str">
        <f>IF(ISERROR(VLOOKUP(C36,'Base de Datos'!$D$7:$F$4345,2,0))=TRUE,"",(VLOOKUP(C36,'Base de Datos'!$D$7:$F$4345,2,0)))</f>
        <v/>
      </c>
      <c r="E36" s="616" t="s">
        <v>2398</v>
      </c>
      <c r="F36" s="556">
        <v>66744000</v>
      </c>
      <c r="G36" s="819">
        <v>42339</v>
      </c>
      <c r="H36" s="814"/>
      <c r="I36" s="835" t="str">
        <f ca="1">IF(H36=Hoja1!$J$2," ",(IF(MONTH(G36)=MONTH(TODAY()),IF(DAY(G36)&gt;DAY(TODAY()),"Quedan "&amp;ABS(DAY(G36)-DAY(TODAY()))&amp;" Días","Hace "&amp;ABS(DAY(G36)-DAY(TODAY()))&amp;" Días"),"")))</f>
        <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2079</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59" t="s">
        <v>1796</v>
      </c>
      <c r="C39" s="1159"/>
      <c r="D39" s="1159"/>
      <c r="E39" s="1159"/>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76" t="s">
        <v>1650</v>
      </c>
      <c r="C40" s="1176"/>
      <c r="D40" s="1176"/>
      <c r="E40" s="1176"/>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188" t="s">
        <v>1651</v>
      </c>
      <c r="C41" s="1188"/>
      <c r="D41" s="1188"/>
      <c r="E41" s="1188"/>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2347</v>
      </c>
      <c r="C42" s="629"/>
      <c r="D42" s="629" t="s">
        <v>912</v>
      </c>
      <c r="E42" s="629" t="s">
        <v>1825</v>
      </c>
      <c r="F42" s="778" t="s">
        <v>1849</v>
      </c>
      <c r="G42" s="814" t="s">
        <v>2349</v>
      </c>
      <c r="H42" s="814" t="s">
        <v>2353</v>
      </c>
      <c r="I42" s="536" t="s">
        <v>2354</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2296</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2113</v>
      </c>
      <c r="F44" s="778">
        <v>10000000</v>
      </c>
      <c r="G44" s="814">
        <v>42580</v>
      </c>
      <c r="H44" s="814"/>
      <c r="I44" s="835" t="str">
        <f ca="1">IF(H44=Hoja1!$J$2," ",(IF(MONTH(G44)=MONTH(TODAY()),IF(DAY(G44)&gt;DAY(TODAY()),"Quedan "&amp;ABS(DAY(G44)-DAY(TODAY()))&amp;" Días","Hace "&amp;ABS(DAY(G44)-DAY(TODAY()))&amp;" Días"),"")))</f>
        <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2399</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2400</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2297</v>
      </c>
      <c r="F47" s="582">
        <v>350000000</v>
      </c>
      <c r="G47" s="814">
        <v>42434</v>
      </c>
      <c r="H47" s="814"/>
      <c r="I47" s="835" t="str">
        <f ca="1">IF(H47=Hoja1!$J$2," ",(IF(MONTH(G47)=MONTH(TODAY()),IF(DAY(G47)&gt;DAY(TODAY()),"Quedan "&amp;ABS(DAY(G47)-DAY(TODAY()))&amp;" Días","Hace "&amp;ABS(DAY(G47)-DAY(TODAY()))&amp;" Días"),"")))</f>
        <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2298</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2299</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2300</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2401</v>
      </c>
      <c r="F52" s="582">
        <v>12000000</v>
      </c>
      <c r="G52" s="814">
        <v>42447</v>
      </c>
      <c r="H52" s="814"/>
      <c r="I52" s="835" t="str">
        <f ca="1">IF(H52=Hoja1!$J$2," ",(IF(MONTH(G52)=MONTH(TODAY()),IF(DAY(G52)&gt;DAY(TODAY()),"Quedan "&amp;ABS(DAY(G52)-DAY(TODAY()))&amp;" Días","Hace "&amp;ABS(DAY(G52)-DAY(TODAY()))&amp;" Días"),"")))</f>
        <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2301</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2402</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2403</v>
      </c>
      <c r="F56" s="582">
        <v>41200000</v>
      </c>
      <c r="G56" s="814">
        <v>42430</v>
      </c>
      <c r="H56" s="814"/>
      <c r="I56" s="835" t="str">
        <f ca="1">IF(H56=Hoja1!$J$2," ",(IF(MONTH(G56)=MONTH(TODAY()),IF(DAY(G56)&gt;DAY(TODAY()),"Quedan "&amp;ABS(DAY(G56)-DAY(TODAY()))&amp;" Días","Hace "&amp;ABS(DAY(G56)-DAY(TODAY()))&amp;" Días"),"")))</f>
        <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2404</v>
      </c>
      <c r="F57" s="582">
        <v>77500000</v>
      </c>
      <c r="G57" s="814">
        <v>42663</v>
      </c>
      <c r="H57" s="814"/>
      <c r="I57" s="835" t="str">
        <f ca="1">IF(H57=Hoja1!$J$2," ",(IF(MONTH(G57)=MONTH(TODAY()),IF(DAY(G57)&gt;DAY(TODAY()),"Quedan "&amp;ABS(DAY(G57)-DAY(TODAY()))&amp;" Días","Hace "&amp;ABS(DAY(G57)-DAY(TODAY()))&amp;" Días"),"")))</f>
        <v>Quedan 10 Días</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Hace 0 Días</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190"/>
      <c r="C60" s="1190"/>
      <c r="D60" s="1190"/>
      <c r="E60" s="1190"/>
      <c r="F60" s="582"/>
      <c r="G60" s="814"/>
      <c r="H60" s="814"/>
      <c r="I60" s="536"/>
      <c r="J60" s="582"/>
      <c r="K60" s="614"/>
      <c r="L60" s="582"/>
      <c r="M60" s="582"/>
      <c r="N60" s="692"/>
      <c r="O60" s="615"/>
      <c r="P60" s="616"/>
      <c r="Q60" s="615"/>
      <c r="R60" s="615"/>
      <c r="S60" s="616"/>
      <c r="T60" s="724"/>
      <c r="U60" s="781"/>
    </row>
    <row r="61" spans="2:21" x14ac:dyDescent="0.25">
      <c r="B61" s="1189" t="s">
        <v>1652</v>
      </c>
      <c r="C61" s="1189"/>
      <c r="D61" s="1189"/>
      <c r="E61" s="1189"/>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2347</v>
      </c>
      <c r="C62" s="629"/>
      <c r="D62" s="629" t="s">
        <v>912</v>
      </c>
      <c r="E62" s="629" t="s">
        <v>1825</v>
      </c>
      <c r="F62" s="778" t="s">
        <v>1849</v>
      </c>
      <c r="G62" s="814" t="s">
        <v>2349</v>
      </c>
      <c r="H62" s="814" t="s">
        <v>2353</v>
      </c>
      <c r="I62" s="536" t="s">
        <v>2354</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2405</v>
      </c>
      <c r="F63" s="582">
        <v>11000000</v>
      </c>
      <c r="G63" s="814">
        <v>42583</v>
      </c>
      <c r="H63" s="814"/>
      <c r="I63" s="835" t="str">
        <f ca="1">IF(H63=Hoja1!$J$2," ",(IF(MONTH(G63)=MONTH(TODAY()),IF(DAY(G63)&gt;DAY(TODAY()),"Quedan "&amp;ABS(DAY(G63)-DAY(TODAY()))&amp;" Días","Hace "&amp;ABS(DAY(G63)-DAY(TODAY()))&amp;" Días"),"")))</f>
        <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2355</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2302</v>
      </c>
      <c r="F64" s="582">
        <v>2319000</v>
      </c>
      <c r="G64" s="814">
        <v>42583</v>
      </c>
      <c r="H64" s="814"/>
      <c r="I64" s="835" t="str">
        <f ca="1">IF(H64=Hoja1!$J$2," ",(IF(MONTH(G64)=MONTH(TODAY()),IF(DAY(G64)&gt;DAY(TODAY()),"Quedan "&amp;ABS(DAY(G64)-DAY(TODAY()))&amp;" Días","Hace "&amp;ABS(DAY(G64)-DAY(TODAY()))&amp;" Días"),"")))</f>
        <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2356</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2303</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189" t="s">
        <v>1653</v>
      </c>
      <c r="C68" s="1189"/>
      <c r="D68" s="1189"/>
      <c r="E68" s="1189"/>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2347</v>
      </c>
      <c r="C69" s="629"/>
      <c r="D69" s="629" t="s">
        <v>912</v>
      </c>
      <c r="E69" s="629" t="s">
        <v>1825</v>
      </c>
      <c r="F69" s="778" t="s">
        <v>1849</v>
      </c>
      <c r="G69" s="814" t="s">
        <v>2349</v>
      </c>
      <c r="H69" s="814" t="s">
        <v>2353</v>
      </c>
      <c r="I69" s="536" t="s">
        <v>2354</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2304</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2079</v>
      </c>
      <c r="T71" s="724"/>
      <c r="U71" s="636"/>
    </row>
    <row r="72" spans="2:21" ht="24" outlineLevel="1" x14ac:dyDescent="0.25">
      <c r="B72" s="539">
        <v>209</v>
      </c>
      <c r="C72" s="629" t="str">
        <f>$W$6&amp;B72</f>
        <v>2016209</v>
      </c>
      <c r="D72" s="535" t="str">
        <f>IF(ISERROR(VLOOKUP(C72,'Base de Datos'!$D$7:$F$4345,2,0))=TRUE,"",(VLOOKUP(C72,'Base de Datos'!$D$7:$F$4345,2,0)))</f>
        <v>160284-0-2016</v>
      </c>
      <c r="E72" s="616" t="s">
        <v>2305</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2356</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66" t="s">
        <v>1654</v>
      </c>
      <c r="C75" s="1166"/>
      <c r="D75" s="1166"/>
      <c r="E75" s="1166"/>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186" t="s">
        <v>1655</v>
      </c>
      <c r="C76" s="1186"/>
      <c r="D76" s="1186"/>
      <c r="E76" s="1186"/>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2347</v>
      </c>
      <c r="C77" s="629"/>
      <c r="D77" s="629" t="s">
        <v>912</v>
      </c>
      <c r="E77" s="629" t="s">
        <v>1825</v>
      </c>
      <c r="F77" s="778" t="s">
        <v>1849</v>
      </c>
      <c r="G77" s="814" t="s">
        <v>2349</v>
      </c>
      <c r="H77" s="814" t="s">
        <v>2353</v>
      </c>
      <c r="I77" s="536" t="s">
        <v>2354</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2306</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2307</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2308</v>
      </c>
      <c r="F80" s="582">
        <v>11328000</v>
      </c>
      <c r="G80" s="814">
        <v>42430</v>
      </c>
      <c r="H80" s="814"/>
      <c r="I80" s="835" t="str">
        <f ca="1">IF(H80=Hoja1!$J$2," ",(IF(MONTH(G80)=MONTH(TODAY()),IF(DAY(G80)&gt;DAY(TODAY()),"Quedan "&amp;ABS(DAY(G80)-DAY(TODAY()))&amp;" Días","Hace "&amp;ABS(DAY(G80)-DAY(TODAY()))&amp;" Días"),"")))</f>
        <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2406</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187" t="s">
        <v>1656</v>
      </c>
      <c r="C84" s="1187"/>
      <c r="D84" s="1187"/>
      <c r="E84" s="1187"/>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2347</v>
      </c>
      <c r="C85" s="629"/>
      <c r="D85" s="629" t="s">
        <v>912</v>
      </c>
      <c r="E85" s="629" t="s">
        <v>1825</v>
      </c>
      <c r="F85" s="778" t="s">
        <v>1849</v>
      </c>
      <c r="G85" s="814" t="s">
        <v>2349</v>
      </c>
      <c r="H85" s="814" t="s">
        <v>2353</v>
      </c>
      <c r="I85" s="536" t="s">
        <v>2354</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2309</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2310</v>
      </c>
      <c r="F87" s="582">
        <v>810600</v>
      </c>
      <c r="G87" s="814">
        <v>42592</v>
      </c>
      <c r="H87" s="814"/>
      <c r="I87" s="835" t="str">
        <f ca="1">IF(H87=Hoja1!$J$2," ",(IF(MONTH(G87)=MONTH(TODAY()),IF(DAY(G87)&gt;DAY(TODAY()),"Quedan "&amp;ABS(DAY(G87)-DAY(TODAY()))&amp;" Días","Hace "&amp;ABS(DAY(G87)-DAY(TODAY()))&amp;" Días"),"")))</f>
        <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2311</v>
      </c>
      <c r="F88" s="582">
        <v>857000</v>
      </c>
      <c r="G88" s="814">
        <v>42614</v>
      </c>
      <c r="H88" s="814"/>
      <c r="I88" s="835" t="str">
        <f ca="1">IF(H88=Hoja1!$J$2," ",(IF(MONTH(G88)=MONTH(TODAY()),IF(DAY(G88)&gt;DAY(TODAY()),"Quedan "&amp;ABS(DAY(G88)-DAY(TODAY()))&amp;" Días","Hace "&amp;ABS(DAY(G88)-DAY(TODAY()))&amp;" Días"),"")))</f>
        <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2357</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2312</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2313</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2314</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2315</v>
      </c>
      <c r="F93" s="582">
        <v>994200</v>
      </c>
      <c r="G93" s="814">
        <v>42566</v>
      </c>
      <c r="H93" s="814"/>
      <c r="I93" s="835" t="str">
        <f ca="1">IF(H93=Hoja1!$J$2," ",(IF(MONTH(G93)=MONTH(TODAY()),IF(DAY(G93)&gt;DAY(TODAY()),"Quedan "&amp;ABS(DAY(G93)-DAY(TODAY()))&amp;" Días","Hace "&amp;ABS(DAY(G93)-DAY(TODAY()))&amp;" Días"),"")))</f>
        <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2316</v>
      </c>
      <c r="F94" s="582">
        <v>908000</v>
      </c>
      <c r="G94" s="814">
        <v>42597</v>
      </c>
      <c r="H94" s="814"/>
      <c r="I94" s="835" t="str">
        <f ca="1">IF(H94=Hoja1!$J$2," ",(IF(MONTH(G94)=MONTH(TODAY()),IF(DAY(G94)&gt;DAY(TODAY()),"Quedan "&amp;ABS(DAY(G94)-DAY(TODAY()))&amp;" Días","Hace "&amp;ABS(DAY(G94)-DAY(TODAY()))&amp;" Días"),"")))</f>
        <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187" t="s">
        <v>1657</v>
      </c>
      <c r="C97" s="1187"/>
      <c r="D97" s="1187"/>
      <c r="E97" s="1187"/>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188" t="s">
        <v>1658</v>
      </c>
      <c r="C98" s="1188"/>
      <c r="D98" s="1188"/>
      <c r="E98" s="1188"/>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2347</v>
      </c>
      <c r="C99" s="629"/>
      <c r="D99" s="629" t="s">
        <v>912</v>
      </c>
      <c r="E99" s="629" t="s">
        <v>1825</v>
      </c>
      <c r="F99" s="778" t="s">
        <v>1849</v>
      </c>
      <c r="G99" s="814" t="s">
        <v>2349</v>
      </c>
      <c r="H99" s="814" t="s">
        <v>2353</v>
      </c>
      <c r="I99" s="536" t="s">
        <v>2354</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2317</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2356</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2407</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2079</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2079</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2318</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2319</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2320</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2321</v>
      </c>
      <c r="F106" s="582">
        <v>25000000</v>
      </c>
      <c r="G106" s="814">
        <v>42430</v>
      </c>
      <c r="H106" s="814"/>
      <c r="I106" s="835" t="str">
        <f ca="1">IF(H106=Hoja1!$J$2," ",(IF(MONTH(G106)=MONTH(TODAY()),IF(DAY(G106)&gt;DAY(TODAY()),"Quedan "&amp;ABS(DAY(G106)-DAY(TODAY()))&amp;" Días","Hace "&amp;ABS(DAY(G106)-DAY(TODAY()))&amp;" Días"),"")))</f>
        <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2355</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2322</v>
      </c>
      <c r="F107" s="582">
        <v>5042000</v>
      </c>
      <c r="G107" s="814">
        <v>42430</v>
      </c>
      <c r="H107" s="814"/>
      <c r="I107" s="835" t="str">
        <f ca="1">IF(H107=Hoja1!$J$2," ",(IF(MONTH(G107)=MONTH(TODAY()),IF(DAY(G107)&gt;DAY(TODAY()),"Quedan "&amp;ABS(DAY(G107)-DAY(TODAY()))&amp;" Días","Hace "&amp;ABS(DAY(G107)-DAY(TODAY()))&amp;" Días"),"")))</f>
        <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2356</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2323</v>
      </c>
      <c r="F108" s="582">
        <v>2060000</v>
      </c>
      <c r="G108" s="814">
        <v>42430</v>
      </c>
      <c r="H108" s="814"/>
      <c r="I108" s="835" t="str">
        <f ca="1">IF(H108=Hoja1!$J$2," ",(IF(MONTH(G108)=MONTH(TODAY()),IF(DAY(G108)&gt;DAY(TODAY()),"Quedan "&amp;ABS(DAY(G108)-DAY(TODAY()))&amp;" Días","Hace "&amp;ABS(DAY(G108)-DAY(TODAY()))&amp;" Días"),"")))</f>
        <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2355</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2324</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2356</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2325</v>
      </c>
      <c r="F110" s="582">
        <v>7027000</v>
      </c>
      <c r="G110" s="814">
        <v>42430</v>
      </c>
      <c r="H110" s="814"/>
      <c r="I110" s="835" t="str">
        <f ca="1">IF(H110=Hoja1!$J$2," ",(IF(MONTH(G110)=MONTH(TODAY()),IF(DAY(G110)&gt;DAY(TODAY()),"Quedan "&amp;ABS(DAY(G110)-DAY(TODAY()))&amp;" Días","Hace "&amp;ABS(DAY(G110)-DAY(TODAY()))&amp;" Días"),"")))</f>
        <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2355</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2326</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2356</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2327</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2355</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2328</v>
      </c>
      <c r="F113" s="582">
        <v>2605500</v>
      </c>
      <c r="G113" s="814">
        <v>42430</v>
      </c>
      <c r="H113" s="814"/>
      <c r="I113" s="835" t="str">
        <f ca="1">IF(H113=Hoja1!$J$2," ",(IF(MONTH(G113)=MONTH(TODAY()),IF(DAY(G113)&gt;DAY(TODAY()),"Quedan "&amp;ABS(DAY(G113)-DAY(TODAY()))&amp;" Días","Hace "&amp;ABS(DAY(G113)-DAY(TODAY()))&amp;" Días"),"")))</f>
        <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2355</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2329</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2356</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187" t="s">
        <v>1659</v>
      </c>
      <c r="C117" s="1187"/>
      <c r="D117" s="1187"/>
      <c r="E117" s="1187"/>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188" t="s">
        <v>1660</v>
      </c>
      <c r="C118" s="1188"/>
      <c r="D118" s="1188"/>
      <c r="E118" s="1188"/>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2347</v>
      </c>
      <c r="C119" s="629"/>
      <c r="D119" s="629" t="s">
        <v>912</v>
      </c>
      <c r="E119" s="629" t="s">
        <v>1825</v>
      </c>
      <c r="F119" s="778" t="s">
        <v>1849</v>
      </c>
      <c r="G119" s="814" t="s">
        <v>2349</v>
      </c>
      <c r="H119" s="814" t="s">
        <v>2353</v>
      </c>
      <c r="I119" s="536" t="s">
        <v>2354</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2332</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2330</v>
      </c>
      <c r="F121" s="710">
        <v>4329000</v>
      </c>
      <c r="G121" s="817">
        <v>42552</v>
      </c>
      <c r="H121" s="814"/>
      <c r="I121" s="835" t="str">
        <f ca="1">IF(H121=Hoja1!$J$2," ",(IF(MONTH(G121)=MONTH(TODAY()),IF(DAY(G121)&gt;DAY(TODAY()),"Quedan "&amp;ABS(DAY(G121)-DAY(TODAY()))&amp;" Días","Hace "&amp;ABS(DAY(G121)-DAY(TODAY()))&amp;" Días"),"")))</f>
        <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189" t="s">
        <v>1661</v>
      </c>
      <c r="C123" s="1189"/>
      <c r="D123" s="1189"/>
      <c r="E123" s="1189"/>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2347</v>
      </c>
      <c r="C124" s="629"/>
      <c r="D124" s="629" t="s">
        <v>912</v>
      </c>
      <c r="E124" s="629" t="s">
        <v>1825</v>
      </c>
      <c r="F124" s="778" t="s">
        <v>1849</v>
      </c>
      <c r="G124" s="814" t="s">
        <v>2349</v>
      </c>
      <c r="H124" s="814" t="s">
        <v>2353</v>
      </c>
      <c r="I124" s="536" t="s">
        <v>2354</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2331</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189" t="s">
        <v>1662</v>
      </c>
      <c r="C128" s="1189"/>
      <c r="D128" s="1189"/>
      <c r="E128" s="1189"/>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2347</v>
      </c>
      <c r="C129" s="629"/>
      <c r="D129" s="629" t="s">
        <v>912</v>
      </c>
      <c r="E129" s="629" t="s">
        <v>1825</v>
      </c>
      <c r="F129" s="778" t="s">
        <v>1849</v>
      </c>
      <c r="G129" s="814" t="s">
        <v>2349</v>
      </c>
      <c r="H129" s="814" t="s">
        <v>2353</v>
      </c>
      <c r="I129" s="536" t="s">
        <v>2354</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186" t="s">
        <v>1663</v>
      </c>
      <c r="C132" s="1186"/>
      <c r="D132" s="1186"/>
      <c r="E132" s="1186"/>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188" t="s">
        <v>1664</v>
      </c>
      <c r="C133" s="1188"/>
      <c r="D133" s="1188"/>
      <c r="E133" s="1188"/>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2347</v>
      </c>
      <c r="C134" s="629"/>
      <c r="D134" s="629" t="s">
        <v>912</v>
      </c>
      <c r="E134" s="629" t="s">
        <v>1825</v>
      </c>
      <c r="F134" s="778" t="s">
        <v>1849</v>
      </c>
      <c r="G134" s="814" t="s">
        <v>2349</v>
      </c>
      <c r="H134" s="814" t="s">
        <v>2353</v>
      </c>
      <c r="I134" s="536" t="s">
        <v>2354</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188" t="s">
        <v>1665</v>
      </c>
      <c r="C137" s="1188"/>
      <c r="D137" s="1188"/>
      <c r="E137" s="1188"/>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2347</v>
      </c>
      <c r="C138" s="629"/>
      <c r="D138" s="629" t="s">
        <v>912</v>
      </c>
      <c r="E138" s="629" t="s">
        <v>1825</v>
      </c>
      <c r="F138" s="778" t="s">
        <v>1849</v>
      </c>
      <c r="G138" s="814" t="s">
        <v>2349</v>
      </c>
      <c r="H138" s="814" t="s">
        <v>2353</v>
      </c>
      <c r="I138" s="536" t="s">
        <v>2354</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188" t="s">
        <v>1666</v>
      </c>
      <c r="C141" s="1188"/>
      <c r="D141" s="1188"/>
      <c r="E141" s="1188"/>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2347</v>
      </c>
      <c r="C142" s="629"/>
      <c r="D142" s="629" t="s">
        <v>912</v>
      </c>
      <c r="E142" s="629" t="s">
        <v>1825</v>
      </c>
      <c r="F142" s="778" t="s">
        <v>1849</v>
      </c>
      <c r="G142" s="814" t="s">
        <v>2349</v>
      </c>
      <c r="H142" s="814" t="s">
        <v>2353</v>
      </c>
      <c r="I142" s="536" t="s">
        <v>2354</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188" t="s">
        <v>1667</v>
      </c>
      <c r="C145" s="1188"/>
      <c r="D145" s="1188"/>
      <c r="E145" s="1188"/>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2347</v>
      </c>
      <c r="C146" s="629"/>
      <c r="D146" s="629" t="s">
        <v>912</v>
      </c>
      <c r="E146" s="629" t="s">
        <v>1825</v>
      </c>
      <c r="F146" s="778" t="s">
        <v>1849</v>
      </c>
      <c r="G146" s="814" t="s">
        <v>2349</v>
      </c>
      <c r="H146" s="814" t="s">
        <v>2353</v>
      </c>
      <c r="I146" s="536" t="s">
        <v>2354</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186" t="s">
        <v>1668</v>
      </c>
      <c r="C149" s="1186"/>
      <c r="D149" s="1186"/>
      <c r="E149" s="1186"/>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188" t="s">
        <v>1669</v>
      </c>
      <c r="C150" s="1188"/>
      <c r="D150" s="1188"/>
      <c r="E150" s="1188"/>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2347</v>
      </c>
      <c r="C151" s="629"/>
      <c r="D151" s="629" t="s">
        <v>912</v>
      </c>
      <c r="E151" s="629" t="s">
        <v>1825</v>
      </c>
      <c r="F151" s="778" t="s">
        <v>1849</v>
      </c>
      <c r="G151" s="814" t="s">
        <v>2349</v>
      </c>
      <c r="H151" s="814" t="s">
        <v>2353</v>
      </c>
      <c r="I151" s="536" t="s">
        <v>2354</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2333</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2079</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187" t="s">
        <v>1670</v>
      </c>
      <c r="C154" s="1187"/>
      <c r="D154" s="1187"/>
      <c r="E154" s="1187"/>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2347</v>
      </c>
      <c r="C155" s="629"/>
      <c r="D155" s="629" t="s">
        <v>912</v>
      </c>
      <c r="E155" s="629" t="s">
        <v>1825</v>
      </c>
      <c r="F155" s="778" t="s">
        <v>1849</v>
      </c>
      <c r="G155" s="814" t="s">
        <v>2349</v>
      </c>
      <c r="H155" s="814" t="s">
        <v>2353</v>
      </c>
      <c r="I155" s="536" t="s">
        <v>2354</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2334</v>
      </c>
      <c r="F157" s="582">
        <v>41200000</v>
      </c>
      <c r="G157" s="814">
        <v>42573</v>
      </c>
      <c r="H157" s="814"/>
      <c r="I157" s="835" t="str">
        <f ca="1">IF(H157=Hoja1!$J$2," ",(IF(MONTH(G157)=MONTH(TODAY()),IF(DAY(G157)&gt;DAY(TODAY()),"Quedan "&amp;ABS(DAY(G157)-DAY(TODAY()))&amp;" Días","Hace "&amp;ABS(DAY(G157)-DAY(TODAY()))&amp;" Días"),"")))</f>
        <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187" t="s">
        <v>1671</v>
      </c>
      <c r="C160" s="1187"/>
      <c r="D160" s="1187"/>
      <c r="E160" s="1187"/>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2347</v>
      </c>
      <c r="C161" s="629"/>
      <c r="D161" s="629" t="s">
        <v>912</v>
      </c>
      <c r="E161" s="629" t="s">
        <v>1825</v>
      </c>
      <c r="F161" s="778" t="s">
        <v>1849</v>
      </c>
      <c r="G161" s="814" t="s">
        <v>2349</v>
      </c>
      <c r="H161" s="814" t="s">
        <v>2353</v>
      </c>
      <c r="I161" s="536" t="s">
        <v>2354</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2335</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2336</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2356</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187" t="s">
        <v>1672</v>
      </c>
      <c r="C166" s="1187"/>
      <c r="D166" s="1187"/>
      <c r="E166" s="1187"/>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2347</v>
      </c>
      <c r="C167" s="629"/>
      <c r="D167" s="629" t="s">
        <v>912</v>
      </c>
      <c r="E167" s="629" t="s">
        <v>1825</v>
      </c>
      <c r="F167" s="778" t="s">
        <v>1849</v>
      </c>
      <c r="G167" s="814" t="s">
        <v>2349</v>
      </c>
      <c r="H167" s="814" t="s">
        <v>2353</v>
      </c>
      <c r="I167" s="536" t="s">
        <v>2354</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2356</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2337</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2355</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2338</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2355</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2339</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2355</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187" t="s">
        <v>1673</v>
      </c>
      <c r="C174" s="1187"/>
      <c r="D174" s="1187"/>
      <c r="E174" s="1187"/>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188" t="s">
        <v>1842</v>
      </c>
      <c r="C175" s="1188"/>
      <c r="D175" s="1188"/>
      <c r="E175" s="1188"/>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2347</v>
      </c>
      <c r="C176" s="629"/>
      <c r="D176" s="629" t="s">
        <v>912</v>
      </c>
      <c r="E176" s="629" t="s">
        <v>1825</v>
      </c>
      <c r="F176" s="778" t="s">
        <v>1849</v>
      </c>
      <c r="G176" s="814" t="s">
        <v>2349</v>
      </c>
      <c r="H176" s="814" t="s">
        <v>2353</v>
      </c>
      <c r="I176" s="536" t="s">
        <v>2354</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186" t="s">
        <v>1675</v>
      </c>
      <c r="C179" s="1186"/>
      <c r="D179" s="1186"/>
      <c r="E179" s="1186"/>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2347</v>
      </c>
      <c r="C180" s="629"/>
      <c r="D180" s="629" t="s">
        <v>912</v>
      </c>
      <c r="E180" s="629" t="s">
        <v>1825</v>
      </c>
      <c r="F180" s="778" t="s">
        <v>1849</v>
      </c>
      <c r="G180" s="814" t="s">
        <v>2349</v>
      </c>
      <c r="H180" s="814" t="s">
        <v>2353</v>
      </c>
      <c r="I180" s="536" t="s">
        <v>2354</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2340</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2079</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2341</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66" t="s">
        <v>1676</v>
      </c>
      <c r="C185" s="1166"/>
      <c r="D185" s="1166"/>
      <c r="E185" s="1166"/>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188" t="s">
        <v>1841</v>
      </c>
      <c r="C186" s="1188"/>
      <c r="D186" s="1188"/>
      <c r="E186" s="1188"/>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2347</v>
      </c>
      <c r="C187" s="629"/>
      <c r="D187" s="629" t="s">
        <v>912</v>
      </c>
      <c r="E187" s="629" t="s">
        <v>1825</v>
      </c>
      <c r="F187" s="778" t="s">
        <v>1849</v>
      </c>
      <c r="G187" s="814" t="s">
        <v>2349</v>
      </c>
      <c r="H187" s="814" t="s">
        <v>2353</v>
      </c>
      <c r="I187" s="536" t="s">
        <v>2354</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62" t="s">
        <v>1691</v>
      </c>
      <c r="C190" s="1162"/>
      <c r="D190" s="1162"/>
      <c r="E190" s="1162"/>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58" t="s">
        <v>1690</v>
      </c>
      <c r="C191" s="1158"/>
      <c r="D191" s="1158"/>
      <c r="E191" s="1158"/>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58" t="s">
        <v>1679</v>
      </c>
      <c r="C192" s="1158"/>
      <c r="D192" s="1158"/>
      <c r="E192" s="1158"/>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56" t="s">
        <v>1840</v>
      </c>
      <c r="C193" s="1156"/>
      <c r="D193" s="1156"/>
      <c r="E193" s="1156"/>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56" t="s">
        <v>1839</v>
      </c>
      <c r="C194" s="1156"/>
      <c r="D194" s="1156"/>
      <c r="E194" s="1156"/>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55" t="s">
        <v>1682</v>
      </c>
      <c r="C195" s="1155"/>
      <c r="D195" s="1155"/>
      <c r="E195" s="1155"/>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2347</v>
      </c>
      <c r="C196" s="629"/>
      <c r="D196" s="629" t="s">
        <v>912</v>
      </c>
      <c r="E196" s="629" t="s">
        <v>1825</v>
      </c>
      <c r="F196" s="778" t="s">
        <v>1849</v>
      </c>
      <c r="G196" s="814" t="s">
        <v>2349</v>
      </c>
      <c r="H196" s="814" t="s">
        <v>2353</v>
      </c>
      <c r="I196" s="536" t="s">
        <v>2354</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58" t="s">
        <v>1913</v>
      </c>
      <c r="E197" s="1158"/>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177" t="s">
        <v>1914</v>
      </c>
      <c r="E198" s="1178"/>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58" t="s">
        <v>1917</v>
      </c>
      <c r="E200" s="1158"/>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63" t="s">
        <v>1918</v>
      </c>
      <c r="E201" s="1163"/>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2409</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63" t="s">
        <v>1920</v>
      </c>
      <c r="E204" s="1163"/>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2342</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2079</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63" t="s">
        <v>1926</v>
      </c>
      <c r="E207" s="1163"/>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61" t="s">
        <v>1928</v>
      </c>
      <c r="E209" s="1161"/>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2343</v>
      </c>
      <c r="F210" s="582">
        <v>400000000</v>
      </c>
      <c r="G210" s="814">
        <v>42444</v>
      </c>
      <c r="H210" s="814"/>
      <c r="I210" s="835" t="str">
        <f ca="1">IF(H210=Hoja1!$J$2," ",(IF(MONTH(G210)=MONTH(TODAY()),IF(DAY(G210)&gt;DAY(TODAY()),"Quedan "&amp;ABS(DAY(G210)-DAY(TODAY()))&amp;" Días","Hace "&amp;ABS(DAY(G210)-DAY(TODAY()))&amp;" Días"),"")))</f>
        <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2410</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2344</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2413</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2345</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2411</v>
      </c>
      <c r="F215" s="632">
        <v>420750000</v>
      </c>
      <c r="G215" s="780">
        <v>42449</v>
      </c>
      <c r="H215" s="814"/>
      <c r="I215" s="835" t="str">
        <f ca="1">IF(H215=Hoja1!$J$2," ",(IF(MONTH(G215)=MONTH(TODAY()),IF(DAY(G215)&gt;DAY(TODAY()),"Quedan "&amp;ABS(DAY(G215)-DAY(TODAY()))&amp;" Días","Hace "&amp;ABS(DAY(G215)-DAY(TODAY()))&amp;" Días"),"")))</f>
        <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2346</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2408</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2412</v>
      </c>
      <c r="F218" s="632">
        <v>162400000</v>
      </c>
      <c r="G218" s="780">
        <v>42439</v>
      </c>
      <c r="H218" s="814"/>
      <c r="I218" s="835" t="str">
        <f ca="1">IF(H218=Hoja1!$J$2," ",(IF(MONTH(G218)=MONTH(TODAY()),IF(DAY(G218)&gt;DAY(TODAY()),"Quedan "&amp;ABS(DAY(G218)-DAY(TODAY()))&amp;" Días","Hace "&amp;ABS(DAY(G218)-DAY(TODAY()))&amp;" Días"),"")))</f>
        <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61" t="s">
        <v>1936</v>
      </c>
      <c r="E220" s="1161"/>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2356</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8" t="s">
        <v>1844</v>
      </c>
      <c r="C1" s="1169"/>
      <c r="D1" s="1169"/>
      <c r="E1" s="1169"/>
      <c r="F1" s="1169"/>
      <c r="G1" s="1169"/>
      <c r="H1" s="1169"/>
      <c r="I1" s="1169"/>
      <c r="J1" s="1169"/>
      <c r="K1" s="1169"/>
      <c r="L1" s="1169"/>
      <c r="M1" s="1169"/>
      <c r="N1" s="1169"/>
      <c r="O1" s="1169"/>
      <c r="P1" s="1169"/>
      <c r="Q1" s="1169"/>
      <c r="R1" s="1169"/>
      <c r="S1" s="1169"/>
      <c r="T1" s="1170"/>
      <c r="AA1" s="537" t="s">
        <v>1906</v>
      </c>
    </row>
    <row r="2" spans="2:27" ht="36" x14ac:dyDescent="0.25">
      <c r="B2" s="1175" t="s">
        <v>1786</v>
      </c>
      <c r="C2" s="1175"/>
      <c r="D2" s="1175"/>
      <c r="E2" s="901" t="s">
        <v>2269</v>
      </c>
      <c r="F2" s="901" t="s">
        <v>1845</v>
      </c>
      <c r="G2" s="901" t="s">
        <v>1900</v>
      </c>
      <c r="H2" s="901" t="s">
        <v>1901</v>
      </c>
      <c r="I2" s="901" t="s">
        <v>1843</v>
      </c>
      <c r="J2" s="901" t="s">
        <v>1902</v>
      </c>
      <c r="K2" s="718" t="s">
        <v>1903</v>
      </c>
      <c r="L2" s="901" t="s">
        <v>1904</v>
      </c>
      <c r="M2" s="901" t="s">
        <v>1905</v>
      </c>
      <c r="N2" s="901" t="s">
        <v>1907</v>
      </c>
      <c r="O2" s="719" t="s">
        <v>1123</v>
      </c>
      <c r="P2" s="720" t="s">
        <v>1850</v>
      </c>
      <c r="Q2" s="901" t="s">
        <v>1851</v>
      </c>
      <c r="R2" s="901" t="s">
        <v>1852</v>
      </c>
      <c r="S2" s="901" t="s">
        <v>375</v>
      </c>
      <c r="T2" s="901" t="s">
        <v>1853</v>
      </c>
    </row>
    <row r="3" spans="2:27" ht="15" customHeight="1" x14ac:dyDescent="0.25">
      <c r="B3" s="1162" t="s">
        <v>1689</v>
      </c>
      <c r="C3" s="1162"/>
      <c r="D3" s="1162"/>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62" t="s">
        <v>1687</v>
      </c>
      <c r="C4" s="1162"/>
      <c r="D4" s="1162"/>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58" t="s">
        <v>1686</v>
      </c>
      <c r="C5" s="1158"/>
      <c r="D5" s="1158"/>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8" t="s">
        <v>1685</v>
      </c>
      <c r="C6" s="1158"/>
      <c r="D6" s="1158"/>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8" t="s">
        <v>1684</v>
      </c>
      <c r="C7" s="1158"/>
      <c r="D7" s="1158"/>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55" t="s">
        <v>1646</v>
      </c>
      <c r="C8" s="1155"/>
      <c r="D8" s="1155"/>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71"/>
      <c r="C32" s="1172"/>
      <c r="D32" s="1172"/>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73"/>
      <c r="C33" s="1174"/>
      <c r="D33" s="1174"/>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0" t="s">
        <v>1647</v>
      </c>
      <c r="C34" s="1160"/>
      <c r="D34" s="1160"/>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4"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5" t="s">
        <v>1648</v>
      </c>
      <c r="C37" s="1155"/>
      <c r="D37" s="1155"/>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57"/>
      <c r="C48" s="1157"/>
      <c r="D48" s="1157"/>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9" t="s">
        <v>1796</v>
      </c>
      <c r="C49" s="1159"/>
      <c r="D49" s="1159"/>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8" t="s">
        <v>1650</v>
      </c>
      <c r="C50" s="1158"/>
      <c r="D50" s="1158"/>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5" t="s">
        <v>1651</v>
      </c>
      <c r="C51" s="1155"/>
      <c r="D51" s="1155"/>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2017'!B53,'Base de Datos'!$C$7:$F$4345,3,0)))</f>
        <v/>
      </c>
      <c r="D53" s="535" t="str">
        <f>IF(ISERROR(VLOOKUP(B53,'Base de Datos'!$C$487:$F$4345,3,0))=TRUE,"",(VLOOKUP('Presupuesto - PAA 2017'!B53,'Base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
      </c>
      <c r="D55" s="535" t="str">
        <f>IF(ISERROR(VLOOKUP(B55,'Base de Datos'!$C$487:$F$4345,3,0))=TRUE,"",(VLOOKUP('Presupuesto - PAA 2017'!B55,'Base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7"/>
      <c r="C73" s="1157"/>
      <c r="D73" s="1157"/>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7"/>
      <c r="C74" s="1157"/>
      <c r="D74" s="1157"/>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0" t="s">
        <v>1652</v>
      </c>
      <c r="C75" s="1160"/>
      <c r="D75" s="1160"/>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0" t="s">
        <v>1653</v>
      </c>
      <c r="C82" s="1160"/>
      <c r="D82" s="1160"/>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9" t="s">
        <v>1654</v>
      </c>
      <c r="C90" s="1159"/>
      <c r="D90" s="1159"/>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5" t="s">
        <v>1655</v>
      </c>
      <c r="C91" s="1155"/>
      <c r="D91" s="1155"/>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0" t="s">
        <v>1656</v>
      </c>
      <c r="C100" s="1160"/>
      <c r="D100" s="1160"/>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9" t="s">
        <v>1657</v>
      </c>
      <c r="C116" s="1159"/>
      <c r="D116" s="1159"/>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5" t="s">
        <v>1658</v>
      </c>
      <c r="C117" s="1155"/>
      <c r="D117" s="1155"/>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150191-0-2015</v>
      </c>
      <c r="D120" s="535" t="str">
        <f>IF(ISERROR(VLOOKUP(B120,'Base de Datos'!$C$487:$F$4345,3,0))=TRUE,"",(VLOOKUP('Presupuesto - PAA 2017'!B120,'Base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9" t="s">
        <v>1659</v>
      </c>
      <c r="C139" s="1159"/>
      <c r="D139" s="1159"/>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5" t="s">
        <v>1660</v>
      </c>
      <c r="C140" s="1155"/>
      <c r="D140" s="1155"/>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
      </c>
      <c r="D142" s="535" t="str">
        <f>IF(ISERROR(VLOOKUP(B142,'Base de Datos'!$C$487:$F$4345,3,0))=TRUE,"",(VLOOKUP('Presupuesto - PAA 2017'!B142,'Base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0" t="s">
        <v>1661</v>
      </c>
      <c r="C147" s="1160"/>
      <c r="D147" s="1160"/>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0" t="s">
        <v>1662</v>
      </c>
      <c r="C154" s="1160"/>
      <c r="D154" s="1160"/>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4"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8" t="s">
        <v>1663</v>
      </c>
      <c r="C158" s="1158"/>
      <c r="D158" s="1158"/>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6" t="s">
        <v>1664</v>
      </c>
      <c r="C159" s="1156"/>
      <c r="D159" s="1156"/>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4"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4"/>
      <c r="C162" s="904"/>
      <c r="D162" s="904"/>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6" t="s">
        <v>1665</v>
      </c>
      <c r="C163" s="1156"/>
      <c r="D163" s="1156"/>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4"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4"/>
      <c r="C166" s="904"/>
      <c r="D166" s="904"/>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6" t="s">
        <v>1666</v>
      </c>
      <c r="C167" s="1156"/>
      <c r="D167" s="1156"/>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4"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4"/>
      <c r="C170" s="904"/>
      <c r="D170" s="904"/>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6" t="s">
        <v>1667</v>
      </c>
      <c r="C171" s="1156"/>
      <c r="D171" s="1156"/>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4"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4"/>
      <c r="C174" s="904"/>
      <c r="D174" s="904"/>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8" t="s">
        <v>1668</v>
      </c>
      <c r="C175" s="1158"/>
      <c r="D175" s="1158"/>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5" t="s">
        <v>1669</v>
      </c>
      <c r="C176" s="1155"/>
      <c r="D176" s="1155"/>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0" t="s">
        <v>1670</v>
      </c>
      <c r="C180" s="1160"/>
      <c r="D180" s="1160"/>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6" t="s">
        <v>1671</v>
      </c>
      <c r="C188" s="1166"/>
      <c r="D188" s="1166"/>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0" t="s">
        <v>1672</v>
      </c>
      <c r="C196" s="1160"/>
      <c r="D196" s="1160"/>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9" t="s">
        <v>1673</v>
      </c>
      <c r="C204" s="1159"/>
      <c r="D204" s="1159"/>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6" t="s">
        <v>1842</v>
      </c>
      <c r="C205" s="1156"/>
      <c r="D205" s="1156"/>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4"/>
      <c r="C208" s="904"/>
      <c r="D208" s="904"/>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5" t="s">
        <v>1675</v>
      </c>
      <c r="C209" s="1155"/>
      <c r="D209" s="1155"/>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9" t="s">
        <v>1676</v>
      </c>
      <c r="C216" s="1159"/>
      <c r="D216" s="1159"/>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6" t="s">
        <v>1841</v>
      </c>
      <c r="C217" s="1156"/>
      <c r="D217" s="1156"/>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6" t="s">
        <v>2131</v>
      </c>
      <c r="C221" s="1156"/>
      <c r="D221" s="1156"/>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4"/>
      <c r="C225" s="904"/>
      <c r="D225" s="904"/>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62" t="s">
        <v>1691</v>
      </c>
      <c r="C226" s="1162"/>
      <c r="D226" s="1162"/>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8" t="s">
        <v>1690</v>
      </c>
      <c r="C227" s="1158"/>
      <c r="D227" s="1158"/>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6" t="s">
        <v>1679</v>
      </c>
      <c r="C228" s="1156"/>
      <c r="D228" s="1156"/>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6" t="s">
        <v>1840</v>
      </c>
      <c r="C229" s="1156"/>
      <c r="D229" s="1156"/>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6" t="s">
        <v>1839</v>
      </c>
      <c r="C230" s="1156"/>
      <c r="D230" s="1156"/>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5" t="s">
        <v>1877</v>
      </c>
      <c r="C231" s="1155"/>
      <c r="D231" s="1155"/>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8" t="s">
        <v>1913</v>
      </c>
      <c r="D233" s="1158"/>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64" t="s">
        <v>1914</v>
      </c>
      <c r="D234" s="1165"/>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150302-0-2015</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8" t="s">
        <v>1917</v>
      </c>
      <c r="D241" s="1158"/>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63" t="s">
        <v>1918</v>
      </c>
      <c r="D242" s="1163"/>
      <c r="E242" s="621">
        <v>450477000</v>
      </c>
      <c r="F242" s="90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2"/>
      <c r="R242" s="627" t="str">
        <f>IF(ISERROR(VLOOKUP(B242,'Base de Datos'!$C$7:$N$315,9,0))=TRUE," ",(VLOOKUP(B242,'Base de Datos'!$C$7:$N$315,9,0)))</f>
        <v xml:space="preserve"> </v>
      </c>
      <c r="S242" s="627" t="str">
        <f>IF(ISERROR(VLOOKUP(B242,'Base de Datos'!$C$7:$N$315,10,0))=TRUE," ",(VLOOKUP(B242,'Base de Datos'!$C$7:$N$315,10,0)))</f>
        <v xml:space="preserve"> </v>
      </c>
      <c r="T242" s="90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63" t="s">
        <v>1920</v>
      </c>
      <c r="D244" s="1163"/>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2"/>
      <c r="R244" s="627" t="str">
        <f>IF(ISERROR(VLOOKUP(B244,'Base de Datos'!$C$7:$N$315,9,0))=TRUE," ",(VLOOKUP(B244,'Base de Datos'!$C$7:$N$315,9,0)))</f>
        <v xml:space="preserve"> </v>
      </c>
      <c r="S244" s="627" t="str">
        <f>IF(ISERROR(VLOOKUP(B244,'Base de Datos'!$C$7:$N$315,10,0))=TRUE," ",(VLOOKUP(B244,'Base de Datos'!$C$7:$N$315,10,0)))</f>
        <v xml:space="preserve"> </v>
      </c>
      <c r="T244" s="902"/>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63" t="s">
        <v>1926</v>
      </c>
      <c r="D249" s="1163"/>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2"/>
      <c r="R249" s="627" t="str">
        <f>IF(ISERROR(VLOOKUP(B249,'Base de Datos'!$C$7:$N$315,9,0))=TRUE," ",(VLOOKUP(B249,'Base de Datos'!$C$7:$N$315,9,0)))</f>
        <v xml:space="preserve"> </v>
      </c>
      <c r="S249" s="627" t="str">
        <f>IF(ISERROR(VLOOKUP(B249,'Base de Datos'!$C$7:$N$315,10,0))=TRUE," ",(VLOOKUP(B249,'Base de Datos'!$C$7:$N$315,10,0)))</f>
        <v xml:space="preserve"> </v>
      </c>
      <c r="T249" s="902"/>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1" t="s">
        <v>1928</v>
      </c>
      <c r="D251" s="1161"/>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2"/>
      <c r="R251" s="627" t="str">
        <f>IF(ISERROR(VLOOKUP(B251,'Base de Datos'!$C$7:$N$315,9,0))=TRUE," ",(VLOOKUP(B251,'Base de Datos'!$C$7:$N$315,9,0)))</f>
        <v xml:space="preserve"> </v>
      </c>
      <c r="S251" s="627" t="str">
        <f>IF(ISERROR(VLOOKUP(B251,'Base de Datos'!$C$7:$N$315,10,0))=TRUE," ",(VLOOKUP(B251,'Base de Datos'!$C$7:$N$315,10,0)))</f>
        <v xml:space="preserve"> </v>
      </c>
      <c r="T251" s="902"/>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1" t="s">
        <v>1936</v>
      </c>
      <c r="D264" s="1161"/>
      <c r="E264" s="622">
        <f>+E265</f>
        <v>4174276985</v>
      </c>
      <c r="F264" s="902"/>
      <c r="G264" s="902"/>
      <c r="H264" s="902"/>
      <c r="I264" s="902"/>
      <c r="J264" s="622">
        <f>SUM(J265)</f>
        <v>4174276985</v>
      </c>
      <c r="K264" s="625">
        <f>+J264/E264</f>
        <v>1</v>
      </c>
      <c r="L264" s="622">
        <f>SUM(L265)</f>
        <v>0</v>
      </c>
      <c r="M264" s="902"/>
      <c r="N264" s="622" t="str">
        <f>+N265</f>
        <v xml:space="preserve"> </v>
      </c>
      <c r="O264" s="698"/>
      <c r="P264" s="628"/>
      <c r="Q264" s="902"/>
      <c r="R264" s="902"/>
      <c r="S264" s="902"/>
      <c r="T264" s="902"/>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7" t="s">
        <v>2130</v>
      </c>
      <c r="C270" s="1167"/>
      <c r="D270" s="1167"/>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75" t="s">
        <v>1786</v>
      </c>
      <c r="C271" s="1175"/>
      <c r="D271" s="1175"/>
      <c r="E271" s="901" t="s">
        <v>2133</v>
      </c>
      <c r="F271" s="901" t="s">
        <v>2134</v>
      </c>
      <c r="G271" s="901" t="s">
        <v>1900</v>
      </c>
      <c r="H271" s="901" t="s">
        <v>1901</v>
      </c>
      <c r="I271" s="901" t="s">
        <v>1843</v>
      </c>
      <c r="J271" s="901" t="s">
        <v>2135</v>
      </c>
      <c r="K271" s="718" t="s">
        <v>1903</v>
      </c>
      <c r="L271" s="901" t="s">
        <v>2139</v>
      </c>
      <c r="M271" s="901" t="s">
        <v>1905</v>
      </c>
      <c r="N271" s="901" t="s">
        <v>1907</v>
      </c>
      <c r="O271" s="719" t="s">
        <v>2138</v>
      </c>
      <c r="P271" s="720" t="s">
        <v>1821</v>
      </c>
      <c r="Q271" s="901" t="s">
        <v>1851</v>
      </c>
      <c r="R271" s="901" t="s">
        <v>1852</v>
      </c>
      <c r="S271" s="901" t="s">
        <v>375</v>
      </c>
      <c r="T271" s="901" t="s">
        <v>1853</v>
      </c>
    </row>
    <row r="272" spans="2:22" hidden="1" x14ac:dyDescent="0.25">
      <c r="B272" s="1162" t="s">
        <v>1689</v>
      </c>
      <c r="C272" s="1162"/>
      <c r="D272" s="1162"/>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62" t="s">
        <v>1687</v>
      </c>
      <c r="C273" s="1162"/>
      <c r="D273" s="1162"/>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8" t="s">
        <v>1686</v>
      </c>
      <c r="C274" s="1158"/>
      <c r="D274" s="1158"/>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8" t="s">
        <v>1685</v>
      </c>
      <c r="C275" s="1158"/>
      <c r="D275" s="1158"/>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8" t="s">
        <v>1684</v>
      </c>
      <c r="C276" s="1158"/>
      <c r="D276" s="1158"/>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5" t="s">
        <v>1646</v>
      </c>
      <c r="C277" s="1155"/>
      <c r="D277" s="1155"/>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5" t="s">
        <v>1648</v>
      </c>
      <c r="C285" s="1155"/>
      <c r="D285" s="1155"/>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8" t="s">
        <v>1796</v>
      </c>
      <c r="C289" s="1158"/>
      <c r="D289" s="1158"/>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8" t="s">
        <v>1650</v>
      </c>
      <c r="C290" s="1158"/>
      <c r="D290" s="1158"/>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5" t="s">
        <v>1651</v>
      </c>
      <c r="C291" s="1155"/>
      <c r="D291" s="1155"/>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5" t="s">
        <v>1652</v>
      </c>
      <c r="C300" s="1155"/>
      <c r="D300" s="1155"/>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5" t="s">
        <v>1653</v>
      </c>
      <c r="C307" s="1155"/>
      <c r="D307" s="1155"/>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8" t="s">
        <v>1654</v>
      </c>
      <c r="C312" s="1158"/>
      <c r="D312" s="1158"/>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5" t="s">
        <v>2143</v>
      </c>
      <c r="C313" s="1155"/>
      <c r="D313" s="1155"/>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3"/>
      <c r="C316" s="903"/>
      <c r="D316" s="9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5" t="s">
        <v>1655</v>
      </c>
      <c r="C317" s="1155"/>
      <c r="D317" s="1155"/>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5" t="s">
        <v>1656</v>
      </c>
      <c r="C323" s="1155"/>
      <c r="D323" s="1155"/>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8" t="s">
        <v>1657</v>
      </c>
      <c r="C327" s="1158"/>
      <c r="D327" s="1158"/>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5" t="s">
        <v>1658</v>
      </c>
      <c r="C328" s="1155"/>
      <c r="D328" s="1155"/>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8" t="s">
        <v>1659</v>
      </c>
      <c r="C347" s="1158"/>
      <c r="D347" s="1158"/>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5" t="s">
        <v>1660</v>
      </c>
      <c r="C348" s="1155"/>
      <c r="D348" s="1155"/>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8" t="s">
        <v>1668</v>
      </c>
      <c r="C353" s="1158"/>
      <c r="D353" s="1158"/>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5" t="s">
        <v>1669</v>
      </c>
      <c r="C354" s="1155"/>
      <c r="D354" s="1155"/>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5" t="s">
        <v>1670</v>
      </c>
      <c r="C359" s="1155"/>
      <c r="D359" s="1155"/>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76" t="s">
        <v>1671</v>
      </c>
      <c r="C363" s="1176"/>
      <c r="D363" s="1176"/>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5" t="s">
        <v>1672</v>
      </c>
      <c r="C368" s="1155"/>
      <c r="D368" s="1155"/>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5" t="s">
        <v>1675</v>
      </c>
      <c r="C373" s="1155"/>
      <c r="D373" s="1155"/>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8" t="s">
        <v>1676</v>
      </c>
      <c r="C378" s="1158"/>
      <c r="D378" s="1158"/>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5" t="s">
        <v>2131</v>
      </c>
      <c r="C379" s="1155"/>
      <c r="D379" s="1155"/>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62" t="s">
        <v>1691</v>
      </c>
      <c r="C383" s="1162"/>
      <c r="D383" s="1162"/>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8" t="s">
        <v>1690</v>
      </c>
      <c r="C384" s="1158"/>
      <c r="D384" s="1158"/>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6" t="s">
        <v>1679</v>
      </c>
      <c r="C385" s="1156"/>
      <c r="D385" s="1156"/>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6" t="s">
        <v>1840</v>
      </c>
      <c r="C386" s="1156"/>
      <c r="D386" s="1156"/>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6" t="s">
        <v>1839</v>
      </c>
      <c r="C387" s="1156"/>
      <c r="D387" s="1156"/>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5" t="s">
        <v>1877</v>
      </c>
      <c r="C388" s="1155"/>
      <c r="D388" s="1155"/>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8" t="s">
        <v>1844</v>
      </c>
      <c r="C1" s="1169"/>
      <c r="D1" s="1169"/>
      <c r="E1" s="1169"/>
      <c r="F1" s="1169"/>
      <c r="G1" s="1169"/>
      <c r="H1" s="1169"/>
      <c r="I1" s="1169"/>
      <c r="J1" s="1169"/>
      <c r="K1" s="1169"/>
      <c r="L1" s="1169"/>
      <c r="M1" s="1169"/>
      <c r="N1" s="1169"/>
      <c r="O1" s="1169"/>
      <c r="P1" s="1169"/>
      <c r="Q1" s="1169"/>
      <c r="R1" s="1169"/>
      <c r="S1" s="1169"/>
      <c r="T1" s="1170"/>
      <c r="AA1" s="537" t="s">
        <v>1906</v>
      </c>
    </row>
    <row r="2" spans="2:27" ht="36" x14ac:dyDescent="0.25">
      <c r="B2" s="1175" t="s">
        <v>1786</v>
      </c>
      <c r="C2" s="1175"/>
      <c r="D2" s="1175"/>
      <c r="E2" s="1001" t="s">
        <v>2269</v>
      </c>
      <c r="F2" s="1001" t="s">
        <v>1845</v>
      </c>
      <c r="G2" s="1001" t="s">
        <v>1900</v>
      </c>
      <c r="H2" s="1001" t="s">
        <v>1901</v>
      </c>
      <c r="I2" s="1001" t="s">
        <v>1843</v>
      </c>
      <c r="J2" s="1001" t="s">
        <v>1902</v>
      </c>
      <c r="K2" s="718" t="s">
        <v>1903</v>
      </c>
      <c r="L2" s="1001" t="s">
        <v>1904</v>
      </c>
      <c r="M2" s="1001" t="s">
        <v>1905</v>
      </c>
      <c r="N2" s="1001" t="s">
        <v>1907</v>
      </c>
      <c r="O2" s="719" t="s">
        <v>1123</v>
      </c>
      <c r="P2" s="720" t="s">
        <v>1850</v>
      </c>
      <c r="Q2" s="1001" t="s">
        <v>1851</v>
      </c>
      <c r="R2" s="1001" t="s">
        <v>1852</v>
      </c>
      <c r="S2" s="1001" t="s">
        <v>375</v>
      </c>
      <c r="T2" s="1001" t="s">
        <v>1853</v>
      </c>
    </row>
    <row r="3" spans="2:27" ht="15" customHeight="1" x14ac:dyDescent="0.25">
      <c r="B3" s="1162" t="s">
        <v>1689</v>
      </c>
      <c r="C3" s="1162"/>
      <c r="D3" s="1162"/>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62" t="s">
        <v>1687</v>
      </c>
      <c r="C4" s="1162"/>
      <c r="D4" s="1162"/>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58" t="s">
        <v>1686</v>
      </c>
      <c r="C5" s="1158"/>
      <c r="D5" s="1158"/>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8" t="s">
        <v>1685</v>
      </c>
      <c r="C6" s="1158"/>
      <c r="D6" s="1158"/>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8" t="s">
        <v>1684</v>
      </c>
      <c r="C7" s="1158"/>
      <c r="D7" s="1158"/>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55" t="s">
        <v>1646</v>
      </c>
      <c r="C8" s="1155"/>
      <c r="D8" s="1155"/>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3830</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71"/>
      <c r="C32" s="1172"/>
      <c r="D32" s="1172"/>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73"/>
      <c r="C33" s="1174"/>
      <c r="D33" s="1174"/>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0" t="s">
        <v>1647</v>
      </c>
      <c r="C34" s="1160"/>
      <c r="D34" s="1160"/>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2"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5" t="s">
        <v>1648</v>
      </c>
      <c r="C37" s="1155"/>
      <c r="D37" s="1155"/>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57"/>
      <c r="C48" s="1157"/>
      <c r="D48" s="1157"/>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9" t="s">
        <v>1796</v>
      </c>
      <c r="C49" s="1159"/>
      <c r="D49" s="1159"/>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8" t="s">
        <v>1650</v>
      </c>
      <c r="C50" s="1158"/>
      <c r="D50" s="1158"/>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5" t="s">
        <v>1651</v>
      </c>
      <c r="C51" s="1155"/>
      <c r="D51" s="1155"/>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2018'!B53,'Base de Datos'!$C$7:$F$4345,3,0)))</f>
        <v/>
      </c>
      <c r="D53" s="535" t="str">
        <f>IF(ISERROR(VLOOKUP(B53,'Base de Datos'!$C$487:$F$4345,3,0))=TRUE,"",(VLOOKUP('Presupuesto - PAA 2018'!B53,'Base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
      </c>
      <c r="D55" s="535" t="str">
        <f>IF(ISERROR(VLOOKUP(B55,'Base de Datos'!$C$487:$F$4345,3,0))=TRUE,"",(VLOOKUP('Presupuesto - PAA 2018'!B55,'Base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7"/>
      <c r="C73" s="1157"/>
      <c r="D73" s="1157"/>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7"/>
      <c r="C74" s="1157"/>
      <c r="D74" s="1157"/>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0" t="s">
        <v>1652</v>
      </c>
      <c r="C75" s="1160"/>
      <c r="D75" s="1160"/>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0" t="s">
        <v>1653</v>
      </c>
      <c r="C82" s="1160"/>
      <c r="D82" s="1160"/>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9" t="s">
        <v>1654</v>
      </c>
      <c r="C90" s="1159"/>
      <c r="D90" s="1159"/>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5" t="s">
        <v>1655</v>
      </c>
      <c r="C91" s="1155"/>
      <c r="D91" s="1155"/>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0" t="s">
        <v>1656</v>
      </c>
      <c r="C100" s="1160"/>
      <c r="D100" s="1160"/>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9" t="s">
        <v>1657</v>
      </c>
      <c r="C116" s="1159"/>
      <c r="D116" s="1159"/>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5" t="s">
        <v>1658</v>
      </c>
      <c r="C117" s="1155"/>
      <c r="D117" s="1155"/>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150191-0-2015</v>
      </c>
      <c r="D120" s="535" t="str">
        <f>IF(ISERROR(VLOOKUP(B120,'Base de Datos'!$C$487:$F$4345,3,0))=TRUE,"",(VLOOKUP('Presupuesto - PAA 2018'!B120,'Base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9" t="s">
        <v>1659</v>
      </c>
      <c r="C139" s="1159"/>
      <c r="D139" s="1159"/>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5" t="s">
        <v>1660</v>
      </c>
      <c r="C140" s="1155"/>
      <c r="D140" s="1155"/>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
      </c>
      <c r="D142" s="535" t="str">
        <f>IF(ISERROR(VLOOKUP(B142,'Base de Datos'!$C$487:$F$4345,3,0))=TRUE,"",(VLOOKUP('Presupuesto - PAA 2018'!B142,'Base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0" t="s">
        <v>1661</v>
      </c>
      <c r="C147" s="1160"/>
      <c r="D147" s="1160"/>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0" t="s">
        <v>1662</v>
      </c>
      <c r="C154" s="1160"/>
      <c r="D154" s="1160"/>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2"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8" t="s">
        <v>1663</v>
      </c>
      <c r="C158" s="1158"/>
      <c r="D158" s="1158"/>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6" t="s">
        <v>1664</v>
      </c>
      <c r="C159" s="1156"/>
      <c r="D159" s="1156"/>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2"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2"/>
      <c r="C162" s="1002"/>
      <c r="D162" s="1002"/>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6" t="s">
        <v>1665</v>
      </c>
      <c r="C163" s="1156"/>
      <c r="D163" s="1156"/>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2"/>
      <c r="C166" s="1002"/>
      <c r="D166" s="1002"/>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6" t="s">
        <v>1666</v>
      </c>
      <c r="C167" s="1156"/>
      <c r="D167" s="1156"/>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2"/>
      <c r="C170" s="1002"/>
      <c r="D170" s="1002"/>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6" t="s">
        <v>1667</v>
      </c>
      <c r="C171" s="1156"/>
      <c r="D171" s="1156"/>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2"/>
      <c r="C174" s="1002"/>
      <c r="D174" s="1002"/>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8" t="s">
        <v>1668</v>
      </c>
      <c r="C175" s="1158"/>
      <c r="D175" s="1158"/>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5" t="s">
        <v>1669</v>
      </c>
      <c r="C176" s="1155"/>
      <c r="D176" s="1155"/>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0" t="s">
        <v>1670</v>
      </c>
      <c r="C180" s="1160"/>
      <c r="D180" s="1160"/>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6" t="s">
        <v>1671</v>
      </c>
      <c r="C188" s="1166"/>
      <c r="D188" s="1166"/>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0" t="s">
        <v>1672</v>
      </c>
      <c r="C196" s="1160"/>
      <c r="D196" s="1160"/>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9" t="s">
        <v>1673</v>
      </c>
      <c r="C204" s="1159"/>
      <c r="D204" s="1159"/>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6" t="s">
        <v>1842</v>
      </c>
      <c r="C205" s="1156"/>
      <c r="D205" s="1156"/>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2"/>
      <c r="C208" s="1002"/>
      <c r="D208" s="1002"/>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5" t="s">
        <v>1675</v>
      </c>
      <c r="C209" s="1155"/>
      <c r="D209" s="1155"/>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9" t="s">
        <v>1676</v>
      </c>
      <c r="C216" s="1159"/>
      <c r="D216" s="1159"/>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6" t="s">
        <v>1841</v>
      </c>
      <c r="C217" s="1156"/>
      <c r="D217" s="1156"/>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6" t="s">
        <v>2131</v>
      </c>
      <c r="C221" s="1156"/>
      <c r="D221" s="1156"/>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2"/>
      <c r="C225" s="1002"/>
      <c r="D225" s="1002"/>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62" t="s">
        <v>1691</v>
      </c>
      <c r="C226" s="1162"/>
      <c r="D226" s="1162"/>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8" t="s">
        <v>1690</v>
      </c>
      <c r="C227" s="1158"/>
      <c r="D227" s="1158"/>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6" t="s">
        <v>1679</v>
      </c>
      <c r="C228" s="1156"/>
      <c r="D228" s="1156"/>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6" t="s">
        <v>1840</v>
      </c>
      <c r="C229" s="1156"/>
      <c r="D229" s="1156"/>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6" t="s">
        <v>1839</v>
      </c>
      <c r="C230" s="1156"/>
      <c r="D230" s="1156"/>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5" t="s">
        <v>1877</v>
      </c>
      <c r="C231" s="1155"/>
      <c r="D231" s="1155"/>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8" t="s">
        <v>1913</v>
      </c>
      <c r="D233" s="1158"/>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64" t="s">
        <v>1914</v>
      </c>
      <c r="D234" s="1165"/>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150302-0-2015</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8" t="s">
        <v>1917</v>
      </c>
      <c r="D241" s="1158"/>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63" t="s">
        <v>1918</v>
      </c>
      <c r="D242" s="1163"/>
      <c r="E242" s="621">
        <v>450477000</v>
      </c>
      <c r="F242" s="1000"/>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1000"/>
      <c r="R242" s="627" t="str">
        <f>IF(ISERROR(VLOOKUP(B242,'Base de Datos'!$C$7:$N$315,9,0))=TRUE," ",(VLOOKUP(B242,'Base de Datos'!$C$7:$N$315,9,0)))</f>
        <v xml:space="preserve"> </v>
      </c>
      <c r="S242" s="627" t="str">
        <f>IF(ISERROR(VLOOKUP(B242,'Base de Datos'!$C$7:$N$315,10,0))=TRUE," ",(VLOOKUP(B242,'Base de Datos'!$C$7:$N$315,10,0)))</f>
        <v xml:space="preserve"> </v>
      </c>
      <c r="T242" s="1000"/>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63" t="s">
        <v>1920</v>
      </c>
      <c r="D244" s="1163"/>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1000"/>
      <c r="R244" s="627" t="str">
        <f>IF(ISERROR(VLOOKUP(B244,'Base de Datos'!$C$7:$N$315,9,0))=TRUE," ",(VLOOKUP(B244,'Base de Datos'!$C$7:$N$315,9,0)))</f>
        <v xml:space="preserve"> </v>
      </c>
      <c r="S244" s="627" t="str">
        <f>IF(ISERROR(VLOOKUP(B244,'Base de Datos'!$C$7:$N$315,10,0))=TRUE," ",(VLOOKUP(B244,'Base de Datos'!$C$7:$N$315,10,0)))</f>
        <v xml:space="preserve"> </v>
      </c>
      <c r="T244" s="1000"/>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63" t="s">
        <v>1926</v>
      </c>
      <c r="D249" s="1163"/>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1000"/>
      <c r="R249" s="627" t="str">
        <f>IF(ISERROR(VLOOKUP(B249,'Base de Datos'!$C$7:$N$315,9,0))=TRUE," ",(VLOOKUP(B249,'Base de Datos'!$C$7:$N$315,9,0)))</f>
        <v xml:space="preserve"> </v>
      </c>
      <c r="S249" s="627" t="str">
        <f>IF(ISERROR(VLOOKUP(B249,'Base de Datos'!$C$7:$N$315,10,0))=TRUE," ",(VLOOKUP(B249,'Base de Datos'!$C$7:$N$315,10,0)))</f>
        <v xml:space="preserve"> </v>
      </c>
      <c r="T249" s="1000"/>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1" t="s">
        <v>1928</v>
      </c>
      <c r="D251" s="1161"/>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1000"/>
      <c r="R251" s="627" t="str">
        <f>IF(ISERROR(VLOOKUP(B251,'Base de Datos'!$C$7:$N$315,9,0))=TRUE," ",(VLOOKUP(B251,'Base de Datos'!$C$7:$N$315,9,0)))</f>
        <v xml:space="preserve"> </v>
      </c>
      <c r="S251" s="627" t="str">
        <f>IF(ISERROR(VLOOKUP(B251,'Base de Datos'!$C$7:$N$315,10,0))=TRUE," ",(VLOOKUP(B251,'Base de Datos'!$C$7:$N$315,10,0)))</f>
        <v xml:space="preserve"> </v>
      </c>
      <c r="T251" s="1000"/>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1" t="s">
        <v>1936</v>
      </c>
      <c r="D264" s="1161"/>
      <c r="E264" s="622">
        <f>+E265</f>
        <v>4174276985</v>
      </c>
      <c r="F264" s="1000"/>
      <c r="G264" s="1000"/>
      <c r="H264" s="1000"/>
      <c r="I264" s="1000"/>
      <c r="J264" s="622">
        <f>SUM(J265)</f>
        <v>4174276985</v>
      </c>
      <c r="K264" s="625">
        <f>+J264/E264</f>
        <v>1</v>
      </c>
      <c r="L264" s="622">
        <f>SUM(L265)</f>
        <v>0</v>
      </c>
      <c r="M264" s="1000"/>
      <c r="N264" s="622" t="str">
        <f>+N265</f>
        <v xml:space="preserve"> </v>
      </c>
      <c r="O264" s="698"/>
      <c r="P264" s="628"/>
      <c r="Q264" s="1000"/>
      <c r="R264" s="1000"/>
      <c r="S264" s="1000"/>
      <c r="T264" s="1000"/>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7" t="s">
        <v>2130</v>
      </c>
      <c r="C270" s="1167"/>
      <c r="D270" s="1167"/>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75" t="s">
        <v>1786</v>
      </c>
      <c r="C271" s="1175"/>
      <c r="D271" s="1175"/>
      <c r="E271" s="1001" t="s">
        <v>2133</v>
      </c>
      <c r="F271" s="1001" t="s">
        <v>2134</v>
      </c>
      <c r="G271" s="1001" t="s">
        <v>1900</v>
      </c>
      <c r="H271" s="1001" t="s">
        <v>1901</v>
      </c>
      <c r="I271" s="1001" t="s">
        <v>1843</v>
      </c>
      <c r="J271" s="1001" t="s">
        <v>2135</v>
      </c>
      <c r="K271" s="718" t="s">
        <v>1903</v>
      </c>
      <c r="L271" s="1001" t="s">
        <v>2139</v>
      </c>
      <c r="M271" s="1001" t="s">
        <v>1905</v>
      </c>
      <c r="N271" s="1001" t="s">
        <v>1907</v>
      </c>
      <c r="O271" s="719" t="s">
        <v>2138</v>
      </c>
      <c r="P271" s="720" t="s">
        <v>1821</v>
      </c>
      <c r="Q271" s="1001" t="s">
        <v>1851</v>
      </c>
      <c r="R271" s="1001" t="s">
        <v>1852</v>
      </c>
      <c r="S271" s="1001" t="s">
        <v>375</v>
      </c>
      <c r="T271" s="1001" t="s">
        <v>1853</v>
      </c>
    </row>
    <row r="272" spans="2:22" hidden="1" x14ac:dyDescent="0.25">
      <c r="B272" s="1162" t="s">
        <v>1689</v>
      </c>
      <c r="C272" s="1162"/>
      <c r="D272" s="1162"/>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62" t="s">
        <v>1687</v>
      </c>
      <c r="C273" s="1162"/>
      <c r="D273" s="1162"/>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8" t="s">
        <v>1686</v>
      </c>
      <c r="C274" s="1158"/>
      <c r="D274" s="1158"/>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8" t="s">
        <v>1685</v>
      </c>
      <c r="C275" s="1158"/>
      <c r="D275" s="1158"/>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8" t="s">
        <v>1684</v>
      </c>
      <c r="C276" s="1158"/>
      <c r="D276" s="1158"/>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5" t="s">
        <v>1646</v>
      </c>
      <c r="C277" s="1155"/>
      <c r="D277" s="1155"/>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5" t="s">
        <v>1648</v>
      </c>
      <c r="C285" s="1155"/>
      <c r="D285" s="1155"/>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8" t="s">
        <v>1796</v>
      </c>
      <c r="C289" s="1158"/>
      <c r="D289" s="1158"/>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8" t="s">
        <v>1650</v>
      </c>
      <c r="C290" s="1158"/>
      <c r="D290" s="1158"/>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5" t="s">
        <v>1651</v>
      </c>
      <c r="C291" s="1155"/>
      <c r="D291" s="1155"/>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5" t="s">
        <v>1652</v>
      </c>
      <c r="C300" s="1155"/>
      <c r="D300" s="1155"/>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5" t="s">
        <v>1653</v>
      </c>
      <c r="C307" s="1155"/>
      <c r="D307" s="1155"/>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8" t="s">
        <v>1654</v>
      </c>
      <c r="C312" s="1158"/>
      <c r="D312" s="1158"/>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5" t="s">
        <v>2143</v>
      </c>
      <c r="C313" s="1155"/>
      <c r="D313" s="1155"/>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3"/>
      <c r="C316" s="1003"/>
      <c r="D316" s="10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5" t="s">
        <v>1655</v>
      </c>
      <c r="C317" s="1155"/>
      <c r="D317" s="1155"/>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5" t="s">
        <v>1656</v>
      </c>
      <c r="C323" s="1155"/>
      <c r="D323" s="1155"/>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8" t="s">
        <v>1657</v>
      </c>
      <c r="C327" s="1158"/>
      <c r="D327" s="1158"/>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5" t="s">
        <v>1658</v>
      </c>
      <c r="C328" s="1155"/>
      <c r="D328" s="1155"/>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8" t="s">
        <v>1659</v>
      </c>
      <c r="C347" s="1158"/>
      <c r="D347" s="1158"/>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5" t="s">
        <v>1660</v>
      </c>
      <c r="C348" s="1155"/>
      <c r="D348" s="1155"/>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8" t="s">
        <v>1668</v>
      </c>
      <c r="C353" s="1158"/>
      <c r="D353" s="1158"/>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5" t="s">
        <v>1669</v>
      </c>
      <c r="C354" s="1155"/>
      <c r="D354" s="1155"/>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5" t="s">
        <v>1670</v>
      </c>
      <c r="C359" s="1155"/>
      <c r="D359" s="1155"/>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76" t="s">
        <v>1671</v>
      </c>
      <c r="C363" s="1176"/>
      <c r="D363" s="1176"/>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5" t="s">
        <v>1672</v>
      </c>
      <c r="C368" s="1155"/>
      <c r="D368" s="1155"/>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5" t="s">
        <v>1675</v>
      </c>
      <c r="C373" s="1155"/>
      <c r="D373" s="1155"/>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8" t="s">
        <v>1676</v>
      </c>
      <c r="C378" s="1158"/>
      <c r="D378" s="1158"/>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5" t="s">
        <v>2131</v>
      </c>
      <c r="C379" s="1155"/>
      <c r="D379" s="1155"/>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62" t="s">
        <v>1691</v>
      </c>
      <c r="C383" s="1162"/>
      <c r="D383" s="1162"/>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8" t="s">
        <v>1690</v>
      </c>
      <c r="C384" s="1158"/>
      <c r="D384" s="1158"/>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6" t="s">
        <v>1679</v>
      </c>
      <c r="C385" s="1156"/>
      <c r="D385" s="1156"/>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6" t="s">
        <v>1840</v>
      </c>
      <c r="C386" s="1156"/>
      <c r="D386" s="1156"/>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6" t="s">
        <v>1839</v>
      </c>
      <c r="C387" s="1156"/>
      <c r="D387" s="1156"/>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5" t="s">
        <v>1877</v>
      </c>
      <c r="C388" s="1155"/>
      <c r="D388" s="1155"/>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B512" activePane="bottomRight" state="frozen"/>
      <selection activeCell="AT677" sqref="AT677"/>
      <selection pane="topRight" activeCell="AT677" sqref="AT677"/>
      <selection pane="bottomLeft" activeCell="AT677" sqref="AT677"/>
      <selection pane="bottomRight" activeCell="B525" sqref="B525"/>
    </sheetView>
  </sheetViews>
  <sheetFormatPr baseColWidth="10" defaultRowHeight="12.75" x14ac:dyDescent="0.2"/>
  <cols>
    <col min="1" max="1" width="9.140625" style="941" customWidth="1"/>
    <col min="2" max="3" width="19.7109375" style="941" customWidth="1"/>
    <col min="4" max="4" width="44.42578125" style="941" customWidth="1"/>
    <col min="5" max="5" width="20.5703125" style="968" customWidth="1"/>
    <col min="6" max="6" width="21.85546875" style="970" customWidth="1"/>
    <col min="7" max="7" width="37.85546875" style="970" customWidth="1"/>
    <col min="8" max="8" width="29.28515625" style="970" customWidth="1"/>
    <col min="9" max="9" width="22.28515625" style="968" customWidth="1"/>
    <col min="10" max="10" width="16.7109375" style="941" customWidth="1"/>
    <col min="11" max="11" width="15.85546875" style="941" customWidth="1"/>
    <col min="12" max="257" width="11.42578125" style="941"/>
    <col min="258" max="258" width="9.140625" style="941" customWidth="1"/>
    <col min="259" max="259" width="19.7109375" style="941" customWidth="1"/>
    <col min="260" max="260" width="44.42578125" style="941" customWidth="1"/>
    <col min="261" max="261" width="18.140625" style="941" customWidth="1"/>
    <col min="262" max="262" width="21.85546875" style="941" customWidth="1"/>
    <col min="263" max="263" width="20.42578125" style="941" customWidth="1"/>
    <col min="264" max="513" width="11.42578125" style="941"/>
    <col min="514" max="514" width="9.140625" style="941" customWidth="1"/>
    <col min="515" max="515" width="19.7109375" style="941" customWidth="1"/>
    <col min="516" max="516" width="44.42578125" style="941" customWidth="1"/>
    <col min="517" max="517" width="18.140625" style="941" customWidth="1"/>
    <col min="518" max="518" width="21.85546875" style="941" customWidth="1"/>
    <col min="519" max="519" width="20.42578125" style="941" customWidth="1"/>
    <col min="520" max="769" width="11.42578125" style="941"/>
    <col min="770" max="770" width="9.140625" style="941" customWidth="1"/>
    <col min="771" max="771" width="19.7109375" style="941" customWidth="1"/>
    <col min="772" max="772" width="44.42578125" style="941" customWidth="1"/>
    <col min="773" max="773" width="18.140625" style="941" customWidth="1"/>
    <col min="774" max="774" width="21.85546875" style="941" customWidth="1"/>
    <col min="775" max="775" width="20.42578125" style="941" customWidth="1"/>
    <col min="776" max="1025" width="11.42578125" style="941"/>
    <col min="1026" max="1026" width="9.140625" style="941" customWidth="1"/>
    <col min="1027" max="1027" width="19.7109375" style="941" customWidth="1"/>
    <col min="1028" max="1028" width="44.42578125" style="941" customWidth="1"/>
    <col min="1029" max="1029" width="18.140625" style="941" customWidth="1"/>
    <col min="1030" max="1030" width="21.85546875" style="941" customWidth="1"/>
    <col min="1031" max="1031" width="20.42578125" style="941" customWidth="1"/>
    <col min="1032" max="1281" width="11.42578125" style="941"/>
    <col min="1282" max="1282" width="9.140625" style="941" customWidth="1"/>
    <col min="1283" max="1283" width="19.7109375" style="941" customWidth="1"/>
    <col min="1284" max="1284" width="44.42578125" style="941" customWidth="1"/>
    <col min="1285" max="1285" width="18.140625" style="941" customWidth="1"/>
    <col min="1286" max="1286" width="21.85546875" style="941" customWidth="1"/>
    <col min="1287" max="1287" width="20.42578125" style="941" customWidth="1"/>
    <col min="1288" max="1537" width="11.42578125" style="941"/>
    <col min="1538" max="1538" width="9.140625" style="941" customWidth="1"/>
    <col min="1539" max="1539" width="19.7109375" style="941" customWidth="1"/>
    <col min="1540" max="1540" width="44.42578125" style="941" customWidth="1"/>
    <col min="1541" max="1541" width="18.140625" style="941" customWidth="1"/>
    <col min="1542" max="1542" width="21.85546875" style="941" customWidth="1"/>
    <col min="1543" max="1543" width="20.42578125" style="941" customWidth="1"/>
    <col min="1544" max="1793" width="11.42578125" style="941"/>
    <col min="1794" max="1794" width="9.140625" style="941" customWidth="1"/>
    <col min="1795" max="1795" width="19.7109375" style="941" customWidth="1"/>
    <col min="1796" max="1796" width="44.42578125" style="941" customWidth="1"/>
    <col min="1797" max="1797" width="18.140625" style="941" customWidth="1"/>
    <col min="1798" max="1798" width="21.85546875" style="941" customWidth="1"/>
    <col min="1799" max="1799" width="20.42578125" style="941" customWidth="1"/>
    <col min="1800" max="2049" width="11.42578125" style="941"/>
    <col min="2050" max="2050" width="9.140625" style="941" customWidth="1"/>
    <col min="2051" max="2051" width="19.7109375" style="941" customWidth="1"/>
    <col min="2052" max="2052" width="44.42578125" style="941" customWidth="1"/>
    <col min="2053" max="2053" width="18.140625" style="941" customWidth="1"/>
    <col min="2054" max="2054" width="21.85546875" style="941" customWidth="1"/>
    <col min="2055" max="2055" width="20.42578125" style="941" customWidth="1"/>
    <col min="2056" max="2305" width="11.42578125" style="941"/>
    <col min="2306" max="2306" width="9.140625" style="941" customWidth="1"/>
    <col min="2307" max="2307" width="19.7109375" style="941" customWidth="1"/>
    <col min="2308" max="2308" width="44.42578125" style="941" customWidth="1"/>
    <col min="2309" max="2309" width="18.140625" style="941" customWidth="1"/>
    <col min="2310" max="2310" width="21.85546875" style="941" customWidth="1"/>
    <col min="2311" max="2311" width="20.42578125" style="941" customWidth="1"/>
    <col min="2312" max="2561" width="11.42578125" style="941"/>
    <col min="2562" max="2562" width="9.140625" style="941" customWidth="1"/>
    <col min="2563" max="2563" width="19.7109375" style="941" customWidth="1"/>
    <col min="2564" max="2564" width="44.42578125" style="941" customWidth="1"/>
    <col min="2565" max="2565" width="18.140625" style="941" customWidth="1"/>
    <col min="2566" max="2566" width="21.85546875" style="941" customWidth="1"/>
    <col min="2567" max="2567" width="20.42578125" style="941" customWidth="1"/>
    <col min="2568" max="2817" width="11.42578125" style="941"/>
    <col min="2818" max="2818" width="9.140625" style="941" customWidth="1"/>
    <col min="2819" max="2819" width="19.7109375" style="941" customWidth="1"/>
    <col min="2820" max="2820" width="44.42578125" style="941" customWidth="1"/>
    <col min="2821" max="2821" width="18.140625" style="941" customWidth="1"/>
    <col min="2822" max="2822" width="21.85546875" style="941" customWidth="1"/>
    <col min="2823" max="2823" width="20.42578125" style="941" customWidth="1"/>
    <col min="2824" max="3073" width="11.42578125" style="941"/>
    <col min="3074" max="3074" width="9.140625" style="941" customWidth="1"/>
    <col min="3075" max="3075" width="19.7109375" style="941" customWidth="1"/>
    <col min="3076" max="3076" width="44.42578125" style="941" customWidth="1"/>
    <col min="3077" max="3077" width="18.140625" style="941" customWidth="1"/>
    <col min="3078" max="3078" width="21.85546875" style="941" customWidth="1"/>
    <col min="3079" max="3079" width="20.42578125" style="941" customWidth="1"/>
    <col min="3080" max="3329" width="11.42578125" style="941"/>
    <col min="3330" max="3330" width="9.140625" style="941" customWidth="1"/>
    <col min="3331" max="3331" width="19.7109375" style="941" customWidth="1"/>
    <col min="3332" max="3332" width="44.42578125" style="941" customWidth="1"/>
    <col min="3333" max="3333" width="18.140625" style="941" customWidth="1"/>
    <col min="3334" max="3334" width="21.85546875" style="941" customWidth="1"/>
    <col min="3335" max="3335" width="20.42578125" style="941" customWidth="1"/>
    <col min="3336" max="3585" width="11.42578125" style="941"/>
    <col min="3586" max="3586" width="9.140625" style="941" customWidth="1"/>
    <col min="3587" max="3587" width="19.7109375" style="941" customWidth="1"/>
    <col min="3588" max="3588" width="44.42578125" style="941" customWidth="1"/>
    <col min="3589" max="3589" width="18.140625" style="941" customWidth="1"/>
    <col min="3590" max="3590" width="21.85546875" style="941" customWidth="1"/>
    <col min="3591" max="3591" width="20.42578125" style="941" customWidth="1"/>
    <col min="3592" max="3841" width="11.42578125" style="941"/>
    <col min="3842" max="3842" width="9.140625" style="941" customWidth="1"/>
    <col min="3843" max="3843" width="19.7109375" style="941" customWidth="1"/>
    <col min="3844" max="3844" width="44.42578125" style="941" customWidth="1"/>
    <col min="3845" max="3845" width="18.140625" style="941" customWidth="1"/>
    <col min="3846" max="3846" width="21.85546875" style="941" customWidth="1"/>
    <col min="3847" max="3847" width="20.42578125" style="941" customWidth="1"/>
    <col min="3848" max="4097" width="11.42578125" style="941"/>
    <col min="4098" max="4098" width="9.140625" style="941" customWidth="1"/>
    <col min="4099" max="4099" width="19.7109375" style="941" customWidth="1"/>
    <col min="4100" max="4100" width="44.42578125" style="941" customWidth="1"/>
    <col min="4101" max="4101" width="18.140625" style="941" customWidth="1"/>
    <col min="4102" max="4102" width="21.85546875" style="941" customWidth="1"/>
    <col min="4103" max="4103" width="20.42578125" style="941" customWidth="1"/>
    <col min="4104" max="4353" width="11.42578125" style="941"/>
    <col min="4354" max="4354" width="9.140625" style="941" customWidth="1"/>
    <col min="4355" max="4355" width="19.7109375" style="941" customWidth="1"/>
    <col min="4356" max="4356" width="44.42578125" style="941" customWidth="1"/>
    <col min="4357" max="4357" width="18.140625" style="941" customWidth="1"/>
    <col min="4358" max="4358" width="21.85546875" style="941" customWidth="1"/>
    <col min="4359" max="4359" width="20.42578125" style="941" customWidth="1"/>
    <col min="4360" max="4609" width="11.42578125" style="941"/>
    <col min="4610" max="4610" width="9.140625" style="941" customWidth="1"/>
    <col min="4611" max="4611" width="19.7109375" style="941" customWidth="1"/>
    <col min="4612" max="4612" width="44.42578125" style="941" customWidth="1"/>
    <col min="4613" max="4613" width="18.140625" style="941" customWidth="1"/>
    <col min="4614" max="4614" width="21.85546875" style="941" customWidth="1"/>
    <col min="4615" max="4615" width="20.42578125" style="941" customWidth="1"/>
    <col min="4616" max="4865" width="11.42578125" style="941"/>
    <col min="4866" max="4866" width="9.140625" style="941" customWidth="1"/>
    <col min="4867" max="4867" width="19.7109375" style="941" customWidth="1"/>
    <col min="4868" max="4868" width="44.42578125" style="941" customWidth="1"/>
    <col min="4869" max="4869" width="18.140625" style="941" customWidth="1"/>
    <col min="4870" max="4870" width="21.85546875" style="941" customWidth="1"/>
    <col min="4871" max="4871" width="20.42578125" style="941" customWidth="1"/>
    <col min="4872" max="5121" width="11.42578125" style="941"/>
    <col min="5122" max="5122" width="9.140625" style="941" customWidth="1"/>
    <col min="5123" max="5123" width="19.7109375" style="941" customWidth="1"/>
    <col min="5124" max="5124" width="44.42578125" style="941" customWidth="1"/>
    <col min="5125" max="5125" width="18.140625" style="941" customWidth="1"/>
    <col min="5126" max="5126" width="21.85546875" style="941" customWidth="1"/>
    <col min="5127" max="5127" width="20.42578125" style="941" customWidth="1"/>
    <col min="5128" max="5377" width="11.42578125" style="941"/>
    <col min="5378" max="5378" width="9.140625" style="941" customWidth="1"/>
    <col min="5379" max="5379" width="19.7109375" style="941" customWidth="1"/>
    <col min="5380" max="5380" width="44.42578125" style="941" customWidth="1"/>
    <col min="5381" max="5381" width="18.140625" style="941" customWidth="1"/>
    <col min="5382" max="5382" width="21.85546875" style="941" customWidth="1"/>
    <col min="5383" max="5383" width="20.42578125" style="941" customWidth="1"/>
    <col min="5384" max="5633" width="11.42578125" style="941"/>
    <col min="5634" max="5634" width="9.140625" style="941" customWidth="1"/>
    <col min="5635" max="5635" width="19.7109375" style="941" customWidth="1"/>
    <col min="5636" max="5636" width="44.42578125" style="941" customWidth="1"/>
    <col min="5637" max="5637" width="18.140625" style="941" customWidth="1"/>
    <col min="5638" max="5638" width="21.85546875" style="941" customWidth="1"/>
    <col min="5639" max="5639" width="20.42578125" style="941" customWidth="1"/>
    <col min="5640" max="5889" width="11.42578125" style="941"/>
    <col min="5890" max="5890" width="9.140625" style="941" customWidth="1"/>
    <col min="5891" max="5891" width="19.7109375" style="941" customWidth="1"/>
    <col min="5892" max="5892" width="44.42578125" style="941" customWidth="1"/>
    <col min="5893" max="5893" width="18.140625" style="941" customWidth="1"/>
    <col min="5894" max="5894" width="21.85546875" style="941" customWidth="1"/>
    <col min="5895" max="5895" width="20.42578125" style="941" customWidth="1"/>
    <col min="5896" max="6145" width="11.42578125" style="941"/>
    <col min="6146" max="6146" width="9.140625" style="941" customWidth="1"/>
    <col min="6147" max="6147" width="19.7109375" style="941" customWidth="1"/>
    <col min="6148" max="6148" width="44.42578125" style="941" customWidth="1"/>
    <col min="6149" max="6149" width="18.140625" style="941" customWidth="1"/>
    <col min="6150" max="6150" width="21.85546875" style="941" customWidth="1"/>
    <col min="6151" max="6151" width="20.42578125" style="941" customWidth="1"/>
    <col min="6152" max="6401" width="11.42578125" style="941"/>
    <col min="6402" max="6402" width="9.140625" style="941" customWidth="1"/>
    <col min="6403" max="6403" width="19.7109375" style="941" customWidth="1"/>
    <col min="6404" max="6404" width="44.42578125" style="941" customWidth="1"/>
    <col min="6405" max="6405" width="18.140625" style="941" customWidth="1"/>
    <col min="6406" max="6406" width="21.85546875" style="941" customWidth="1"/>
    <col min="6407" max="6407" width="20.42578125" style="941" customWidth="1"/>
    <col min="6408" max="6657" width="11.42578125" style="941"/>
    <col min="6658" max="6658" width="9.140625" style="941" customWidth="1"/>
    <col min="6659" max="6659" width="19.7109375" style="941" customWidth="1"/>
    <col min="6660" max="6660" width="44.42578125" style="941" customWidth="1"/>
    <col min="6661" max="6661" width="18.140625" style="941" customWidth="1"/>
    <col min="6662" max="6662" width="21.85546875" style="941" customWidth="1"/>
    <col min="6663" max="6663" width="20.42578125" style="941" customWidth="1"/>
    <col min="6664" max="6913" width="11.42578125" style="941"/>
    <col min="6914" max="6914" width="9.140625" style="941" customWidth="1"/>
    <col min="6915" max="6915" width="19.7109375" style="941" customWidth="1"/>
    <col min="6916" max="6916" width="44.42578125" style="941" customWidth="1"/>
    <col min="6917" max="6917" width="18.140625" style="941" customWidth="1"/>
    <col min="6918" max="6918" width="21.85546875" style="941" customWidth="1"/>
    <col min="6919" max="6919" width="20.42578125" style="941" customWidth="1"/>
    <col min="6920" max="7169" width="11.42578125" style="941"/>
    <col min="7170" max="7170" width="9.140625" style="941" customWidth="1"/>
    <col min="7171" max="7171" width="19.7109375" style="941" customWidth="1"/>
    <col min="7172" max="7172" width="44.42578125" style="941" customWidth="1"/>
    <col min="7173" max="7173" width="18.140625" style="941" customWidth="1"/>
    <col min="7174" max="7174" width="21.85546875" style="941" customWidth="1"/>
    <col min="7175" max="7175" width="20.42578125" style="941" customWidth="1"/>
    <col min="7176" max="7425" width="11.42578125" style="941"/>
    <col min="7426" max="7426" width="9.140625" style="941" customWidth="1"/>
    <col min="7427" max="7427" width="19.7109375" style="941" customWidth="1"/>
    <col min="7428" max="7428" width="44.42578125" style="941" customWidth="1"/>
    <col min="7429" max="7429" width="18.140625" style="941" customWidth="1"/>
    <col min="7430" max="7430" width="21.85546875" style="941" customWidth="1"/>
    <col min="7431" max="7431" width="20.42578125" style="941" customWidth="1"/>
    <col min="7432" max="7681" width="11.42578125" style="941"/>
    <col min="7682" max="7682" width="9.140625" style="941" customWidth="1"/>
    <col min="7683" max="7683" width="19.7109375" style="941" customWidth="1"/>
    <col min="7684" max="7684" width="44.42578125" style="941" customWidth="1"/>
    <col min="7685" max="7685" width="18.140625" style="941" customWidth="1"/>
    <col min="7686" max="7686" width="21.85546875" style="941" customWidth="1"/>
    <col min="7687" max="7687" width="20.42578125" style="941" customWidth="1"/>
    <col min="7688" max="7937" width="11.42578125" style="941"/>
    <col min="7938" max="7938" width="9.140625" style="941" customWidth="1"/>
    <col min="7939" max="7939" width="19.7109375" style="941" customWidth="1"/>
    <col min="7940" max="7940" width="44.42578125" style="941" customWidth="1"/>
    <col min="7941" max="7941" width="18.140625" style="941" customWidth="1"/>
    <col min="7942" max="7942" width="21.85546875" style="941" customWidth="1"/>
    <col min="7943" max="7943" width="20.42578125" style="941" customWidth="1"/>
    <col min="7944" max="8193" width="11.42578125" style="941"/>
    <col min="8194" max="8194" width="9.140625" style="941" customWidth="1"/>
    <col min="8195" max="8195" width="19.7109375" style="941" customWidth="1"/>
    <col min="8196" max="8196" width="44.42578125" style="941" customWidth="1"/>
    <col min="8197" max="8197" width="18.140625" style="941" customWidth="1"/>
    <col min="8198" max="8198" width="21.85546875" style="941" customWidth="1"/>
    <col min="8199" max="8199" width="20.42578125" style="941" customWidth="1"/>
    <col min="8200" max="8449" width="11.42578125" style="941"/>
    <col min="8450" max="8450" width="9.140625" style="941" customWidth="1"/>
    <col min="8451" max="8451" width="19.7109375" style="941" customWidth="1"/>
    <col min="8452" max="8452" width="44.42578125" style="941" customWidth="1"/>
    <col min="8453" max="8453" width="18.140625" style="941" customWidth="1"/>
    <col min="8454" max="8454" width="21.85546875" style="941" customWidth="1"/>
    <col min="8455" max="8455" width="20.42578125" style="941" customWidth="1"/>
    <col min="8456" max="8705" width="11.42578125" style="941"/>
    <col min="8706" max="8706" width="9.140625" style="941" customWidth="1"/>
    <col min="8707" max="8707" width="19.7109375" style="941" customWidth="1"/>
    <col min="8708" max="8708" width="44.42578125" style="941" customWidth="1"/>
    <col min="8709" max="8709" width="18.140625" style="941" customWidth="1"/>
    <col min="8710" max="8710" width="21.85546875" style="941" customWidth="1"/>
    <col min="8711" max="8711" width="20.42578125" style="941" customWidth="1"/>
    <col min="8712" max="8961" width="11.42578125" style="941"/>
    <col min="8962" max="8962" width="9.140625" style="941" customWidth="1"/>
    <col min="8963" max="8963" width="19.7109375" style="941" customWidth="1"/>
    <col min="8964" max="8964" width="44.42578125" style="941" customWidth="1"/>
    <col min="8965" max="8965" width="18.140625" style="941" customWidth="1"/>
    <col min="8966" max="8966" width="21.85546875" style="941" customWidth="1"/>
    <col min="8967" max="8967" width="20.42578125" style="941" customWidth="1"/>
    <col min="8968" max="9217" width="11.42578125" style="941"/>
    <col min="9218" max="9218" width="9.140625" style="941" customWidth="1"/>
    <col min="9219" max="9219" width="19.7109375" style="941" customWidth="1"/>
    <col min="9220" max="9220" width="44.42578125" style="941" customWidth="1"/>
    <col min="9221" max="9221" width="18.140625" style="941" customWidth="1"/>
    <col min="9222" max="9222" width="21.85546875" style="941" customWidth="1"/>
    <col min="9223" max="9223" width="20.42578125" style="941" customWidth="1"/>
    <col min="9224" max="9473" width="11.42578125" style="941"/>
    <col min="9474" max="9474" width="9.140625" style="941" customWidth="1"/>
    <col min="9475" max="9475" width="19.7109375" style="941" customWidth="1"/>
    <col min="9476" max="9476" width="44.42578125" style="941" customWidth="1"/>
    <col min="9477" max="9477" width="18.140625" style="941" customWidth="1"/>
    <col min="9478" max="9478" width="21.85546875" style="941" customWidth="1"/>
    <col min="9479" max="9479" width="20.42578125" style="941" customWidth="1"/>
    <col min="9480" max="9729" width="11.42578125" style="941"/>
    <col min="9730" max="9730" width="9.140625" style="941" customWidth="1"/>
    <col min="9731" max="9731" width="19.7109375" style="941" customWidth="1"/>
    <col min="9732" max="9732" width="44.42578125" style="941" customWidth="1"/>
    <col min="9733" max="9733" width="18.140625" style="941" customWidth="1"/>
    <col min="9734" max="9734" width="21.85546875" style="941" customWidth="1"/>
    <col min="9735" max="9735" width="20.42578125" style="941" customWidth="1"/>
    <col min="9736" max="9985" width="11.42578125" style="941"/>
    <col min="9986" max="9986" width="9.140625" style="941" customWidth="1"/>
    <col min="9987" max="9987" width="19.7109375" style="941" customWidth="1"/>
    <col min="9988" max="9988" width="44.42578125" style="941" customWidth="1"/>
    <col min="9989" max="9989" width="18.140625" style="941" customWidth="1"/>
    <col min="9990" max="9990" width="21.85546875" style="941" customWidth="1"/>
    <col min="9991" max="9991" width="20.42578125" style="941" customWidth="1"/>
    <col min="9992" max="10241" width="11.42578125" style="941"/>
    <col min="10242" max="10242" width="9.140625" style="941" customWidth="1"/>
    <col min="10243" max="10243" width="19.7109375" style="941" customWidth="1"/>
    <col min="10244" max="10244" width="44.42578125" style="941" customWidth="1"/>
    <col min="10245" max="10245" width="18.140625" style="941" customWidth="1"/>
    <col min="10246" max="10246" width="21.85546875" style="941" customWidth="1"/>
    <col min="10247" max="10247" width="20.42578125" style="941" customWidth="1"/>
    <col min="10248" max="10497" width="11.42578125" style="941"/>
    <col min="10498" max="10498" width="9.140625" style="941" customWidth="1"/>
    <col min="10499" max="10499" width="19.7109375" style="941" customWidth="1"/>
    <col min="10500" max="10500" width="44.42578125" style="941" customWidth="1"/>
    <col min="10501" max="10501" width="18.140625" style="941" customWidth="1"/>
    <col min="10502" max="10502" width="21.85546875" style="941" customWidth="1"/>
    <col min="10503" max="10503" width="20.42578125" style="941" customWidth="1"/>
    <col min="10504" max="10753" width="11.42578125" style="941"/>
    <col min="10754" max="10754" width="9.140625" style="941" customWidth="1"/>
    <col min="10755" max="10755" width="19.7109375" style="941" customWidth="1"/>
    <col min="10756" max="10756" width="44.42578125" style="941" customWidth="1"/>
    <col min="10757" max="10757" width="18.140625" style="941" customWidth="1"/>
    <col min="10758" max="10758" width="21.85546875" style="941" customWidth="1"/>
    <col min="10759" max="10759" width="20.42578125" style="941" customWidth="1"/>
    <col min="10760" max="11009" width="11.42578125" style="941"/>
    <col min="11010" max="11010" width="9.140625" style="941" customWidth="1"/>
    <col min="11011" max="11011" width="19.7109375" style="941" customWidth="1"/>
    <col min="11012" max="11012" width="44.42578125" style="941" customWidth="1"/>
    <col min="11013" max="11013" width="18.140625" style="941" customWidth="1"/>
    <col min="11014" max="11014" width="21.85546875" style="941" customWidth="1"/>
    <col min="11015" max="11015" width="20.42578125" style="941" customWidth="1"/>
    <col min="11016" max="11265" width="11.42578125" style="941"/>
    <col min="11266" max="11266" width="9.140625" style="941" customWidth="1"/>
    <col min="11267" max="11267" width="19.7109375" style="941" customWidth="1"/>
    <col min="11268" max="11268" width="44.42578125" style="941" customWidth="1"/>
    <col min="11269" max="11269" width="18.140625" style="941" customWidth="1"/>
    <col min="11270" max="11270" width="21.85546875" style="941" customWidth="1"/>
    <col min="11271" max="11271" width="20.42578125" style="941" customWidth="1"/>
    <col min="11272" max="11521" width="11.42578125" style="941"/>
    <col min="11522" max="11522" width="9.140625" style="941" customWidth="1"/>
    <col min="11523" max="11523" width="19.7109375" style="941" customWidth="1"/>
    <col min="11524" max="11524" width="44.42578125" style="941" customWidth="1"/>
    <col min="11525" max="11525" width="18.140625" style="941" customWidth="1"/>
    <col min="11526" max="11526" width="21.85546875" style="941" customWidth="1"/>
    <col min="11527" max="11527" width="20.42578125" style="941" customWidth="1"/>
    <col min="11528" max="11777" width="11.42578125" style="941"/>
    <col min="11778" max="11778" width="9.140625" style="941" customWidth="1"/>
    <col min="11779" max="11779" width="19.7109375" style="941" customWidth="1"/>
    <col min="11780" max="11780" width="44.42578125" style="941" customWidth="1"/>
    <col min="11781" max="11781" width="18.140625" style="941" customWidth="1"/>
    <col min="11782" max="11782" width="21.85546875" style="941" customWidth="1"/>
    <col min="11783" max="11783" width="20.42578125" style="941" customWidth="1"/>
    <col min="11784" max="12033" width="11.42578125" style="941"/>
    <col min="12034" max="12034" width="9.140625" style="941" customWidth="1"/>
    <col min="12035" max="12035" width="19.7109375" style="941" customWidth="1"/>
    <col min="12036" max="12036" width="44.42578125" style="941" customWidth="1"/>
    <col min="12037" max="12037" width="18.140625" style="941" customWidth="1"/>
    <col min="12038" max="12038" width="21.85546875" style="941" customWidth="1"/>
    <col min="12039" max="12039" width="20.42578125" style="941" customWidth="1"/>
    <col min="12040" max="12289" width="11.42578125" style="941"/>
    <col min="12290" max="12290" width="9.140625" style="941" customWidth="1"/>
    <col min="12291" max="12291" width="19.7109375" style="941" customWidth="1"/>
    <col min="12292" max="12292" width="44.42578125" style="941" customWidth="1"/>
    <col min="12293" max="12293" width="18.140625" style="941" customWidth="1"/>
    <col min="12294" max="12294" width="21.85546875" style="941" customWidth="1"/>
    <col min="12295" max="12295" width="20.42578125" style="941" customWidth="1"/>
    <col min="12296" max="12545" width="11.42578125" style="941"/>
    <col min="12546" max="12546" width="9.140625" style="941" customWidth="1"/>
    <col min="12547" max="12547" width="19.7109375" style="941" customWidth="1"/>
    <col min="12548" max="12548" width="44.42578125" style="941" customWidth="1"/>
    <col min="12549" max="12549" width="18.140625" style="941" customWidth="1"/>
    <col min="12550" max="12550" width="21.85546875" style="941" customWidth="1"/>
    <col min="12551" max="12551" width="20.42578125" style="941" customWidth="1"/>
    <col min="12552" max="12801" width="11.42578125" style="941"/>
    <col min="12802" max="12802" width="9.140625" style="941" customWidth="1"/>
    <col min="12803" max="12803" width="19.7109375" style="941" customWidth="1"/>
    <col min="12804" max="12804" width="44.42578125" style="941" customWidth="1"/>
    <col min="12805" max="12805" width="18.140625" style="941" customWidth="1"/>
    <col min="12806" max="12806" width="21.85546875" style="941" customWidth="1"/>
    <col min="12807" max="12807" width="20.42578125" style="941" customWidth="1"/>
    <col min="12808" max="13057" width="11.42578125" style="941"/>
    <col min="13058" max="13058" width="9.140625" style="941" customWidth="1"/>
    <col min="13059" max="13059" width="19.7109375" style="941" customWidth="1"/>
    <col min="13060" max="13060" width="44.42578125" style="941" customWidth="1"/>
    <col min="13061" max="13061" width="18.140625" style="941" customWidth="1"/>
    <col min="13062" max="13062" width="21.85546875" style="941" customWidth="1"/>
    <col min="13063" max="13063" width="20.42578125" style="941" customWidth="1"/>
    <col min="13064" max="13313" width="11.42578125" style="941"/>
    <col min="13314" max="13314" width="9.140625" style="941" customWidth="1"/>
    <col min="13315" max="13315" width="19.7109375" style="941" customWidth="1"/>
    <col min="13316" max="13316" width="44.42578125" style="941" customWidth="1"/>
    <col min="13317" max="13317" width="18.140625" style="941" customWidth="1"/>
    <col min="13318" max="13318" width="21.85546875" style="941" customWidth="1"/>
    <col min="13319" max="13319" width="20.42578125" style="941" customWidth="1"/>
    <col min="13320" max="13569" width="11.42578125" style="941"/>
    <col min="13570" max="13570" width="9.140625" style="941" customWidth="1"/>
    <col min="13571" max="13571" width="19.7109375" style="941" customWidth="1"/>
    <col min="13572" max="13572" width="44.42578125" style="941" customWidth="1"/>
    <col min="13573" max="13573" width="18.140625" style="941" customWidth="1"/>
    <col min="13574" max="13574" width="21.85546875" style="941" customWidth="1"/>
    <col min="13575" max="13575" width="20.42578125" style="941" customWidth="1"/>
    <col min="13576" max="13825" width="11.42578125" style="941"/>
    <col min="13826" max="13826" width="9.140625" style="941" customWidth="1"/>
    <col min="13827" max="13827" width="19.7109375" style="941" customWidth="1"/>
    <col min="13828" max="13828" width="44.42578125" style="941" customWidth="1"/>
    <col min="13829" max="13829" width="18.140625" style="941" customWidth="1"/>
    <col min="13830" max="13830" width="21.85546875" style="941" customWidth="1"/>
    <col min="13831" max="13831" width="20.42578125" style="941" customWidth="1"/>
    <col min="13832" max="14081" width="11.42578125" style="941"/>
    <col min="14082" max="14082" width="9.140625" style="941" customWidth="1"/>
    <col min="14083" max="14083" width="19.7109375" style="941" customWidth="1"/>
    <col min="14084" max="14084" width="44.42578125" style="941" customWidth="1"/>
    <col min="14085" max="14085" width="18.140625" style="941" customWidth="1"/>
    <col min="14086" max="14086" width="21.85546875" style="941" customWidth="1"/>
    <col min="14087" max="14087" width="20.42578125" style="941" customWidth="1"/>
    <col min="14088" max="14337" width="11.42578125" style="941"/>
    <col min="14338" max="14338" width="9.140625" style="941" customWidth="1"/>
    <col min="14339" max="14339" width="19.7109375" style="941" customWidth="1"/>
    <col min="14340" max="14340" width="44.42578125" style="941" customWidth="1"/>
    <col min="14341" max="14341" width="18.140625" style="941" customWidth="1"/>
    <col min="14342" max="14342" width="21.85546875" style="941" customWidth="1"/>
    <col min="14343" max="14343" width="20.42578125" style="941" customWidth="1"/>
    <col min="14344" max="14593" width="11.42578125" style="941"/>
    <col min="14594" max="14594" width="9.140625" style="941" customWidth="1"/>
    <col min="14595" max="14595" width="19.7109375" style="941" customWidth="1"/>
    <col min="14596" max="14596" width="44.42578125" style="941" customWidth="1"/>
    <col min="14597" max="14597" width="18.140625" style="941" customWidth="1"/>
    <col min="14598" max="14598" width="21.85546875" style="941" customWidth="1"/>
    <col min="14599" max="14599" width="20.42578125" style="941" customWidth="1"/>
    <col min="14600" max="14849" width="11.42578125" style="941"/>
    <col min="14850" max="14850" width="9.140625" style="941" customWidth="1"/>
    <col min="14851" max="14851" width="19.7109375" style="941" customWidth="1"/>
    <col min="14852" max="14852" width="44.42578125" style="941" customWidth="1"/>
    <col min="14853" max="14853" width="18.140625" style="941" customWidth="1"/>
    <col min="14854" max="14854" width="21.85546875" style="941" customWidth="1"/>
    <col min="14855" max="14855" width="20.42578125" style="941" customWidth="1"/>
    <col min="14856" max="15105" width="11.42578125" style="941"/>
    <col min="15106" max="15106" width="9.140625" style="941" customWidth="1"/>
    <col min="15107" max="15107" width="19.7109375" style="941" customWidth="1"/>
    <col min="15108" max="15108" width="44.42578125" style="941" customWidth="1"/>
    <col min="15109" max="15109" width="18.140625" style="941" customWidth="1"/>
    <col min="15110" max="15110" width="21.85546875" style="941" customWidth="1"/>
    <col min="15111" max="15111" width="20.42578125" style="941" customWidth="1"/>
    <col min="15112" max="15361" width="11.42578125" style="941"/>
    <col min="15362" max="15362" width="9.140625" style="941" customWidth="1"/>
    <col min="15363" max="15363" width="19.7109375" style="941" customWidth="1"/>
    <col min="15364" max="15364" width="44.42578125" style="941" customWidth="1"/>
    <col min="15365" max="15365" width="18.140625" style="941" customWidth="1"/>
    <col min="15366" max="15366" width="21.85546875" style="941" customWidth="1"/>
    <col min="15367" max="15367" width="20.42578125" style="941" customWidth="1"/>
    <col min="15368" max="15617" width="11.42578125" style="941"/>
    <col min="15618" max="15618" width="9.140625" style="941" customWidth="1"/>
    <col min="15619" max="15619" width="19.7109375" style="941" customWidth="1"/>
    <col min="15620" max="15620" width="44.42578125" style="941" customWidth="1"/>
    <col min="15621" max="15621" width="18.140625" style="941" customWidth="1"/>
    <col min="15622" max="15622" width="21.85546875" style="941" customWidth="1"/>
    <col min="15623" max="15623" width="20.42578125" style="941" customWidth="1"/>
    <col min="15624" max="15873" width="11.42578125" style="941"/>
    <col min="15874" max="15874" width="9.140625" style="941" customWidth="1"/>
    <col min="15875" max="15875" width="19.7109375" style="941" customWidth="1"/>
    <col min="15876" max="15876" width="44.42578125" style="941" customWidth="1"/>
    <col min="15877" max="15877" width="18.140625" style="941" customWidth="1"/>
    <col min="15878" max="15878" width="21.85546875" style="941" customWidth="1"/>
    <col min="15879" max="15879" width="20.42578125" style="941" customWidth="1"/>
    <col min="15880" max="16129" width="11.42578125" style="941"/>
    <col min="16130" max="16130" width="9.140625" style="941" customWidth="1"/>
    <col min="16131" max="16131" width="19.7109375" style="941" customWidth="1"/>
    <col min="16132" max="16132" width="44.42578125" style="941" customWidth="1"/>
    <col min="16133" max="16133" width="18.140625" style="941" customWidth="1"/>
    <col min="16134" max="16134" width="21.85546875" style="941" customWidth="1"/>
    <col min="16135" max="16135" width="20.42578125" style="941" customWidth="1"/>
    <col min="16136" max="16384" width="11.42578125" style="941"/>
  </cols>
  <sheetData>
    <row r="1" spans="1:10" ht="38.25" customHeight="1" x14ac:dyDescent="0.2">
      <c r="A1" s="949"/>
      <c r="B1" s="940" t="s">
        <v>3097</v>
      </c>
      <c r="C1" s="940" t="s">
        <v>3520</v>
      </c>
      <c r="D1" s="940" t="s">
        <v>3098</v>
      </c>
      <c r="E1" s="940" t="s">
        <v>3099</v>
      </c>
      <c r="F1" s="969" t="s">
        <v>3100</v>
      </c>
      <c r="G1" s="969" t="s">
        <v>3101</v>
      </c>
      <c r="H1" s="969" t="s">
        <v>3547</v>
      </c>
      <c r="I1" s="940" t="s">
        <v>3546</v>
      </c>
    </row>
    <row r="2" spans="1:10" ht="15" customHeight="1" x14ac:dyDescent="0.2">
      <c r="A2" s="949">
        <v>70</v>
      </c>
      <c r="B2" s="964" t="s">
        <v>2365</v>
      </c>
      <c r="C2" s="957" t="s">
        <v>3528</v>
      </c>
      <c r="D2" s="942" t="s">
        <v>3202</v>
      </c>
      <c r="E2" s="940"/>
      <c r="F2" s="969"/>
      <c r="G2" s="940" t="s">
        <v>3197</v>
      </c>
      <c r="H2" s="969"/>
      <c r="I2" s="940" t="s">
        <v>3548</v>
      </c>
    </row>
    <row r="3" spans="1:10" ht="15" customHeight="1" x14ac:dyDescent="0.2">
      <c r="A3" s="949">
        <v>71</v>
      </c>
      <c r="B3" s="964" t="s">
        <v>2377</v>
      </c>
      <c r="C3" s="957" t="s">
        <v>3528</v>
      </c>
      <c r="D3" s="942" t="s">
        <v>3202</v>
      </c>
      <c r="E3" s="940"/>
      <c r="F3" s="969"/>
      <c r="G3" s="940" t="s">
        <v>3197</v>
      </c>
      <c r="H3" s="969"/>
      <c r="I3" s="940" t="s">
        <v>3548</v>
      </c>
    </row>
    <row r="4" spans="1:10" ht="15" customHeight="1" x14ac:dyDescent="0.25">
      <c r="A4" s="949">
        <v>72</v>
      </c>
      <c r="B4" s="1017" t="s">
        <v>2422</v>
      </c>
      <c r="C4" s="957" t="s">
        <v>3520</v>
      </c>
      <c r="D4" s="942" t="s">
        <v>3203</v>
      </c>
      <c r="E4" s="940"/>
      <c r="F4" s="969"/>
      <c r="G4" s="940" t="s">
        <v>3197</v>
      </c>
      <c r="H4" s="969"/>
      <c r="I4" s="940" t="s">
        <v>3548</v>
      </c>
    </row>
    <row r="5" spans="1:10" ht="15" customHeight="1" x14ac:dyDescent="0.25">
      <c r="A5" s="949">
        <v>174</v>
      </c>
      <c r="B5" s="1017" t="s">
        <v>2589</v>
      </c>
      <c r="C5" s="957" t="s">
        <v>3520</v>
      </c>
      <c r="D5" s="942" t="s">
        <v>2590</v>
      </c>
      <c r="E5" s="978" t="s">
        <v>3338</v>
      </c>
      <c r="F5" s="969" t="s">
        <v>3330</v>
      </c>
      <c r="G5" s="969" t="s">
        <v>3339</v>
      </c>
      <c r="H5" s="969"/>
      <c r="I5" s="940" t="s">
        <v>3548</v>
      </c>
    </row>
    <row r="6" spans="1:10" ht="15" customHeight="1" x14ac:dyDescent="0.2">
      <c r="A6" s="949">
        <v>177</v>
      </c>
      <c r="B6" s="960" t="s">
        <v>3346</v>
      </c>
      <c r="C6" s="957" t="s">
        <v>3528</v>
      </c>
      <c r="D6" s="942" t="s">
        <v>12</v>
      </c>
      <c r="E6" s="978" t="s">
        <v>3347</v>
      </c>
      <c r="F6" s="969" t="s">
        <v>3345</v>
      </c>
      <c r="G6" s="969" t="s">
        <v>3339</v>
      </c>
      <c r="H6" s="969"/>
      <c r="I6" s="940" t="s">
        <v>3548</v>
      </c>
    </row>
    <row r="7" spans="1:10" ht="15" customHeight="1" x14ac:dyDescent="0.2">
      <c r="A7" s="949">
        <v>179</v>
      </c>
      <c r="B7" s="960" t="s">
        <v>2510</v>
      </c>
      <c r="C7" s="957" t="s">
        <v>3520</v>
      </c>
      <c r="D7" s="942" t="s">
        <v>3351</v>
      </c>
      <c r="E7" s="978" t="s">
        <v>3352</v>
      </c>
      <c r="F7" s="969" t="s">
        <v>3337</v>
      </c>
      <c r="G7" s="969" t="s">
        <v>3339</v>
      </c>
      <c r="H7" s="969" t="s">
        <v>3872</v>
      </c>
      <c r="I7" s="940" t="s">
        <v>3548</v>
      </c>
    </row>
    <row r="8" spans="1:10" ht="15" customHeight="1" x14ac:dyDescent="0.2">
      <c r="A8" s="949">
        <v>189</v>
      </c>
      <c r="B8" s="960" t="s">
        <v>3372</v>
      </c>
      <c r="C8" s="957" t="s">
        <v>3528</v>
      </c>
      <c r="D8" s="942" t="s">
        <v>3373</v>
      </c>
      <c r="E8" s="978" t="s">
        <v>3374</v>
      </c>
      <c r="F8" s="969" t="s">
        <v>3345</v>
      </c>
      <c r="G8" s="969" t="s">
        <v>3339</v>
      </c>
      <c r="H8" s="969"/>
      <c r="I8" s="940" t="s">
        <v>3345</v>
      </c>
    </row>
    <row r="9" spans="1:10" ht="15" customHeight="1" x14ac:dyDescent="0.2">
      <c r="A9" s="949">
        <v>190</v>
      </c>
      <c r="B9" s="960" t="s">
        <v>1979</v>
      </c>
      <c r="C9" s="957" t="s">
        <v>3528</v>
      </c>
      <c r="D9" s="942" t="s">
        <v>3375</v>
      </c>
      <c r="E9" s="978" t="s">
        <v>3376</v>
      </c>
      <c r="F9" s="969" t="s">
        <v>3345</v>
      </c>
      <c r="G9" s="969" t="s">
        <v>3339</v>
      </c>
      <c r="H9" s="969"/>
      <c r="I9" s="940" t="s">
        <v>3345</v>
      </c>
    </row>
    <row r="10" spans="1:10" ht="15" customHeight="1" x14ac:dyDescent="0.2">
      <c r="A10" s="949">
        <v>199</v>
      </c>
      <c r="B10" s="960" t="s">
        <v>1582</v>
      </c>
      <c r="C10" s="957" t="s">
        <v>3520</v>
      </c>
      <c r="D10" s="942" t="s">
        <v>3391</v>
      </c>
      <c r="E10" s="978" t="s">
        <v>3392</v>
      </c>
      <c r="F10" s="969" t="s">
        <v>3345</v>
      </c>
      <c r="G10" s="969" t="s">
        <v>3339</v>
      </c>
      <c r="H10" s="969"/>
      <c r="I10" s="940" t="s">
        <v>3548</v>
      </c>
    </row>
    <row r="11" spans="1:10" ht="15" customHeight="1" x14ac:dyDescent="0.2">
      <c r="A11" s="949">
        <v>201</v>
      </c>
      <c r="B11" s="960" t="s">
        <v>3396</v>
      </c>
      <c r="C11" s="957" t="s">
        <v>3528</v>
      </c>
      <c r="D11" s="942" t="s">
        <v>3397</v>
      </c>
      <c r="E11" s="978" t="s">
        <v>3398</v>
      </c>
      <c r="F11" s="969" t="s">
        <v>3345</v>
      </c>
      <c r="G11" s="969" t="s">
        <v>3339</v>
      </c>
      <c r="H11" s="969" t="s">
        <v>3935</v>
      </c>
      <c r="I11" s="940" t="s">
        <v>3345</v>
      </c>
    </row>
    <row r="12" spans="1:10" ht="15" customHeight="1" x14ac:dyDescent="0.25">
      <c r="A12" s="949">
        <v>204</v>
      </c>
      <c r="B12" s="1011" t="s">
        <v>2103</v>
      </c>
      <c r="C12" s="957" t="s">
        <v>3520</v>
      </c>
      <c r="D12" s="942" t="s">
        <v>3403</v>
      </c>
      <c r="E12" s="978" t="s">
        <v>3404</v>
      </c>
      <c r="F12" s="969" t="s">
        <v>3380</v>
      </c>
      <c r="G12" s="969" t="s">
        <v>3339</v>
      </c>
      <c r="H12" s="969" t="s">
        <v>3937</v>
      </c>
      <c r="I12" s="940" t="s">
        <v>3380</v>
      </c>
    </row>
    <row r="13" spans="1:10" ht="15" customHeight="1" x14ac:dyDescent="0.2">
      <c r="A13" s="949">
        <v>205</v>
      </c>
      <c r="B13" s="960" t="s">
        <v>2240</v>
      </c>
      <c r="C13" s="957" t="s">
        <v>3520</v>
      </c>
      <c r="D13" s="942" t="s">
        <v>1346</v>
      </c>
      <c r="E13" s="978" t="s">
        <v>3405</v>
      </c>
      <c r="F13" s="969" t="s">
        <v>3330</v>
      </c>
      <c r="G13" s="969" t="s">
        <v>3339</v>
      </c>
      <c r="H13" s="969"/>
      <c r="I13" s="940" t="s">
        <v>3548</v>
      </c>
    </row>
    <row r="14" spans="1:10" ht="35.25" customHeight="1" x14ac:dyDescent="0.25">
      <c r="A14" s="949">
        <v>206</v>
      </c>
      <c r="B14" s="1011" t="s">
        <v>2739</v>
      </c>
      <c r="C14" s="957" t="s">
        <v>3520</v>
      </c>
      <c r="D14" s="942" t="s">
        <v>3406</v>
      </c>
      <c r="E14" s="978" t="s">
        <v>3407</v>
      </c>
      <c r="F14" s="969" t="s">
        <v>3380</v>
      </c>
      <c r="G14" s="969" t="s">
        <v>3339</v>
      </c>
      <c r="H14" s="969" t="s">
        <v>3938</v>
      </c>
      <c r="I14" s="940" t="s">
        <v>3380</v>
      </c>
    </row>
    <row r="15" spans="1:10" ht="31.5" customHeight="1" x14ac:dyDescent="0.25">
      <c r="A15" s="949">
        <v>207</v>
      </c>
      <c r="B15" s="1011" t="s">
        <v>2253</v>
      </c>
      <c r="C15" s="957" t="s">
        <v>3520</v>
      </c>
      <c r="D15" s="942" t="s">
        <v>2744</v>
      </c>
      <c r="E15" s="978" t="s">
        <v>3408</v>
      </c>
      <c r="F15" s="969" t="s">
        <v>3380</v>
      </c>
      <c r="G15" s="969" t="s">
        <v>3339</v>
      </c>
      <c r="H15" s="969" t="s">
        <v>3984</v>
      </c>
      <c r="I15" s="940" t="s">
        <v>3548</v>
      </c>
      <c r="J15" s="941" t="s">
        <v>4071</v>
      </c>
    </row>
    <row r="16" spans="1:10" ht="15" customHeight="1" x14ac:dyDescent="0.2">
      <c r="A16" s="949">
        <v>210</v>
      </c>
      <c r="B16" s="960" t="s">
        <v>2501</v>
      </c>
      <c r="C16" s="957" t="s">
        <v>3520</v>
      </c>
      <c r="D16" s="942" t="s">
        <v>3413</v>
      </c>
      <c r="E16" s="978" t="s">
        <v>3414</v>
      </c>
      <c r="F16" s="969" t="s">
        <v>3330</v>
      </c>
      <c r="G16" s="969" t="s">
        <v>3339</v>
      </c>
      <c r="H16" s="969"/>
      <c r="I16" s="940" t="s">
        <v>3548</v>
      </c>
    </row>
    <row r="17" spans="1:11" ht="25.5" x14ac:dyDescent="0.2">
      <c r="A17" s="949">
        <v>211</v>
      </c>
      <c r="B17" s="960" t="s">
        <v>3415</v>
      </c>
      <c r="C17" s="957" t="s">
        <v>3520</v>
      </c>
      <c r="D17" s="942" t="s">
        <v>2220</v>
      </c>
      <c r="E17" s="978" t="s">
        <v>3416</v>
      </c>
      <c r="F17" s="969" t="s">
        <v>3330</v>
      </c>
      <c r="G17" s="969" t="s">
        <v>3339</v>
      </c>
      <c r="H17" s="969" t="s">
        <v>3757</v>
      </c>
      <c r="I17" s="940" t="s">
        <v>3548</v>
      </c>
    </row>
    <row r="18" spans="1:11" ht="32.25" customHeight="1" x14ac:dyDescent="0.2">
      <c r="A18" s="949">
        <v>214</v>
      </c>
      <c r="B18" s="960" t="s">
        <v>919</v>
      </c>
      <c r="C18" s="957" t="s">
        <v>3520</v>
      </c>
      <c r="D18" s="942" t="s">
        <v>3421</v>
      </c>
      <c r="E18" s="978" t="s">
        <v>3422</v>
      </c>
      <c r="F18" s="969" t="s">
        <v>3345</v>
      </c>
      <c r="G18" s="969" t="s">
        <v>3339</v>
      </c>
      <c r="H18" s="969" t="s">
        <v>3635</v>
      </c>
      <c r="I18" s="940" t="s">
        <v>3548</v>
      </c>
      <c r="J18" s="991" t="s">
        <v>3847</v>
      </c>
    </row>
    <row r="19" spans="1:11" ht="27.75" customHeight="1" x14ac:dyDescent="0.25">
      <c r="A19" s="949">
        <v>220</v>
      </c>
      <c r="B19" s="1011" t="s">
        <v>2659</v>
      </c>
      <c r="C19" s="957" t="s">
        <v>3520</v>
      </c>
      <c r="D19" s="942" t="s">
        <v>2660</v>
      </c>
      <c r="E19" s="978" t="s">
        <v>3433</v>
      </c>
      <c r="F19" s="969" t="s">
        <v>3345</v>
      </c>
      <c r="G19" s="969" t="s">
        <v>3339</v>
      </c>
      <c r="H19" s="969"/>
      <c r="I19" s="940" t="s">
        <v>3548</v>
      </c>
    </row>
    <row r="20" spans="1:11" ht="33" customHeight="1" x14ac:dyDescent="0.2">
      <c r="A20" s="949">
        <v>221</v>
      </c>
      <c r="B20" s="960" t="s">
        <v>3434</v>
      </c>
      <c r="C20" s="957" t="s">
        <v>3528</v>
      </c>
      <c r="D20" s="942" t="s">
        <v>3435</v>
      </c>
      <c r="E20" s="978" t="s">
        <v>3436</v>
      </c>
      <c r="F20" s="969" t="s">
        <v>3345</v>
      </c>
      <c r="G20" s="969" t="s">
        <v>3339</v>
      </c>
      <c r="H20" s="969"/>
      <c r="I20" s="940" t="s">
        <v>3345</v>
      </c>
    </row>
    <row r="21" spans="1:11" ht="28.5" customHeight="1" x14ac:dyDescent="0.2">
      <c r="A21" s="949">
        <v>224</v>
      </c>
      <c r="B21" s="960" t="s">
        <v>1878</v>
      </c>
      <c r="C21" s="957" t="s">
        <v>3528</v>
      </c>
      <c r="D21" s="942" t="s">
        <v>3440</v>
      </c>
      <c r="E21" s="978" t="s">
        <v>3441</v>
      </c>
      <c r="F21" s="969" t="s">
        <v>3380</v>
      </c>
      <c r="G21" s="969" t="s">
        <v>3339</v>
      </c>
      <c r="H21" s="969"/>
      <c r="I21" s="940" t="s">
        <v>3548</v>
      </c>
    </row>
    <row r="22" spans="1:11" ht="48" customHeight="1" x14ac:dyDescent="0.2">
      <c r="A22" s="949">
        <v>229</v>
      </c>
      <c r="B22" s="960" t="s">
        <v>2184</v>
      </c>
      <c r="C22" s="957" t="s">
        <v>3520</v>
      </c>
      <c r="D22" s="942" t="s">
        <v>3451</v>
      </c>
      <c r="E22" s="978" t="s">
        <v>3452</v>
      </c>
      <c r="F22" s="969" t="s">
        <v>3345</v>
      </c>
      <c r="G22" s="969" t="s">
        <v>3339</v>
      </c>
      <c r="H22" s="969" t="s">
        <v>3718</v>
      </c>
      <c r="I22" s="940" t="s">
        <v>3548</v>
      </c>
      <c r="J22" s="991" t="s">
        <v>3727</v>
      </c>
      <c r="K22" s="991" t="s">
        <v>3732</v>
      </c>
    </row>
    <row r="23" spans="1:11" ht="26.25" customHeight="1" x14ac:dyDescent="0.2">
      <c r="A23" s="949">
        <v>235</v>
      </c>
      <c r="B23" s="960" t="s">
        <v>2156</v>
      </c>
      <c r="C23" s="957" t="s">
        <v>3528</v>
      </c>
      <c r="D23" s="942" t="s">
        <v>3460</v>
      </c>
      <c r="E23" s="978" t="s">
        <v>3461</v>
      </c>
      <c r="F23" s="969" t="s">
        <v>3337</v>
      </c>
      <c r="G23" s="969" t="s">
        <v>3339</v>
      </c>
      <c r="H23" s="969"/>
      <c r="I23" s="940" t="s">
        <v>3548</v>
      </c>
    </row>
    <row r="24" spans="1:11" s="943" customFormat="1" ht="29.25" customHeight="1" x14ac:dyDescent="0.25">
      <c r="A24" s="949">
        <v>244</v>
      </c>
      <c r="B24" s="1011" t="s">
        <v>2751</v>
      </c>
      <c r="C24" s="957" t="s">
        <v>3520</v>
      </c>
      <c r="D24" s="942" t="s">
        <v>2752</v>
      </c>
      <c r="E24" s="978" t="s">
        <v>3475</v>
      </c>
      <c r="F24" s="969" t="s">
        <v>3472</v>
      </c>
      <c r="G24" s="969" t="s">
        <v>3339</v>
      </c>
      <c r="H24" s="969"/>
      <c r="I24" s="940" t="s">
        <v>3548</v>
      </c>
    </row>
    <row r="25" spans="1:11" s="943" customFormat="1" ht="15" customHeight="1" x14ac:dyDescent="0.25">
      <c r="A25" s="949">
        <v>5</v>
      </c>
      <c r="B25" s="976" t="s">
        <v>249</v>
      </c>
      <c r="C25" s="957" t="s">
        <v>3520</v>
      </c>
      <c r="D25" s="942" t="s">
        <v>3106</v>
      </c>
      <c r="E25" s="940"/>
      <c r="F25" s="969"/>
      <c r="G25" s="940"/>
      <c r="H25" s="969"/>
      <c r="I25" s="940"/>
    </row>
    <row r="26" spans="1:11" ht="15" customHeight="1" x14ac:dyDescent="0.2">
      <c r="A26" s="949">
        <v>6</v>
      </c>
      <c r="B26" s="957" t="s">
        <v>288</v>
      </c>
      <c r="C26" s="957" t="s">
        <v>3521</v>
      </c>
      <c r="D26" s="942" t="s">
        <v>3107</v>
      </c>
      <c r="E26" s="940"/>
      <c r="F26" s="969"/>
      <c r="G26" s="940"/>
      <c r="H26" s="969"/>
      <c r="I26" s="940"/>
    </row>
    <row r="27" spans="1:11" ht="15" customHeight="1" x14ac:dyDescent="0.2">
      <c r="A27" s="949">
        <v>12</v>
      </c>
      <c r="B27" s="957" t="s">
        <v>1595</v>
      </c>
      <c r="C27" s="957" t="s">
        <v>3521</v>
      </c>
      <c r="D27" s="942" t="s">
        <v>3113</v>
      </c>
      <c r="E27" s="940"/>
      <c r="F27" s="969"/>
      <c r="G27" s="940"/>
      <c r="H27" s="969"/>
      <c r="I27" s="940"/>
    </row>
    <row r="28" spans="1:11" ht="15" customHeight="1" x14ac:dyDescent="0.2">
      <c r="A28" s="949">
        <v>13</v>
      </c>
      <c r="B28" s="957" t="s">
        <v>245</v>
      </c>
      <c r="C28" s="957" t="s">
        <v>3521</v>
      </c>
      <c r="D28" s="942" t="s">
        <v>3114</v>
      </c>
      <c r="E28" s="940"/>
      <c r="F28" s="969"/>
      <c r="G28" s="940"/>
      <c r="H28" s="969"/>
      <c r="I28" s="940"/>
    </row>
    <row r="29" spans="1:11" ht="24" customHeight="1" x14ac:dyDescent="0.25">
      <c r="A29" s="949">
        <v>14</v>
      </c>
      <c r="B29" s="1007" t="s">
        <v>125</v>
      </c>
      <c r="C29" s="957" t="s">
        <v>3520</v>
      </c>
      <c r="D29" s="942" t="s">
        <v>3115</v>
      </c>
      <c r="E29" s="940"/>
      <c r="F29" s="969"/>
      <c r="G29" s="940"/>
      <c r="H29" s="969"/>
      <c r="I29" s="940"/>
    </row>
    <row r="30" spans="1:11" ht="28.5" customHeight="1" x14ac:dyDescent="0.2">
      <c r="A30" s="949">
        <v>15</v>
      </c>
      <c r="B30" s="957" t="s">
        <v>218</v>
      </c>
      <c r="C30" s="957" t="s">
        <v>3521</v>
      </c>
      <c r="D30" s="942" t="s">
        <v>3116</v>
      </c>
      <c r="E30" s="940"/>
      <c r="F30" s="969"/>
      <c r="G30" s="940"/>
      <c r="H30" s="969"/>
      <c r="I30" s="940"/>
    </row>
    <row r="31" spans="1:11" ht="26.25" customHeight="1" x14ac:dyDescent="0.2">
      <c r="A31" s="949">
        <v>16</v>
      </c>
      <c r="B31" s="957" t="s">
        <v>1495</v>
      </c>
      <c r="C31" s="957" t="s">
        <v>3521</v>
      </c>
      <c r="D31" s="942" t="s">
        <v>3117</v>
      </c>
      <c r="E31" s="940"/>
      <c r="F31" s="969"/>
      <c r="G31" s="940" t="s">
        <v>3118</v>
      </c>
      <c r="H31" s="969"/>
      <c r="I31" s="940"/>
    </row>
    <row r="32" spans="1:11" ht="15" customHeight="1" x14ac:dyDescent="0.2">
      <c r="A32" s="949">
        <v>19</v>
      </c>
      <c r="B32" s="957" t="s">
        <v>183</v>
      </c>
      <c r="C32" s="957" t="s">
        <v>3521</v>
      </c>
      <c r="D32" s="942" t="s">
        <v>3123</v>
      </c>
      <c r="E32" s="940"/>
      <c r="F32" s="969"/>
      <c r="G32" s="940"/>
      <c r="H32" s="969"/>
      <c r="I32" s="940"/>
    </row>
    <row r="33" spans="1:9" ht="15" customHeight="1" x14ac:dyDescent="0.2">
      <c r="A33" s="949">
        <v>24</v>
      </c>
      <c r="B33" s="960" t="s">
        <v>232</v>
      </c>
      <c r="C33" s="957" t="s">
        <v>3521</v>
      </c>
      <c r="D33" s="959" t="s">
        <v>3128</v>
      </c>
      <c r="E33" s="977"/>
      <c r="F33" s="971"/>
      <c r="G33" s="977"/>
      <c r="H33" s="969"/>
      <c r="I33" s="940"/>
    </row>
    <row r="34" spans="1:9" ht="15" customHeight="1" x14ac:dyDescent="0.2">
      <c r="A34" s="949">
        <v>4</v>
      </c>
      <c r="B34" s="957" t="s">
        <v>1952</v>
      </c>
      <c r="C34" s="957" t="s">
        <v>3521</v>
      </c>
      <c r="D34" s="942" t="s">
        <v>3138</v>
      </c>
      <c r="E34" s="940"/>
      <c r="F34" s="969"/>
      <c r="G34" s="940"/>
      <c r="H34" s="969"/>
      <c r="I34" s="940"/>
    </row>
    <row r="35" spans="1:9" ht="24.75" customHeight="1" x14ac:dyDescent="0.2">
      <c r="A35" s="949">
        <v>8</v>
      </c>
      <c r="B35" s="957" t="s">
        <v>3142</v>
      </c>
      <c r="C35" s="957" t="s">
        <v>3521</v>
      </c>
      <c r="D35" s="942" t="s">
        <v>3143</v>
      </c>
      <c r="E35" s="940"/>
      <c r="F35" s="969"/>
      <c r="G35" s="940"/>
      <c r="H35" s="969"/>
      <c r="I35" s="940"/>
    </row>
    <row r="36" spans="1:9" ht="15" customHeight="1" x14ac:dyDescent="0.2">
      <c r="A36" s="949">
        <v>20</v>
      </c>
      <c r="B36" s="957" t="s">
        <v>240</v>
      </c>
      <c r="C36" s="957" t="s">
        <v>3521</v>
      </c>
      <c r="D36" s="942" t="s">
        <v>3110</v>
      </c>
      <c r="E36" s="940"/>
      <c r="F36" s="969"/>
      <c r="G36" s="940"/>
      <c r="H36" s="969"/>
      <c r="I36" s="940"/>
    </row>
    <row r="37" spans="1:9" ht="15" customHeight="1" x14ac:dyDescent="0.2">
      <c r="A37" s="949">
        <v>25</v>
      </c>
      <c r="B37" s="957" t="s">
        <v>85</v>
      </c>
      <c r="C37" s="957" t="s">
        <v>3521</v>
      </c>
      <c r="D37" s="942" t="s">
        <v>3160</v>
      </c>
      <c r="E37" s="940"/>
      <c r="F37" s="969"/>
      <c r="G37" s="940"/>
      <c r="H37" s="969"/>
      <c r="I37" s="940"/>
    </row>
    <row r="38" spans="1:9" ht="15" customHeight="1" x14ac:dyDescent="0.2">
      <c r="A38" s="949">
        <v>33</v>
      </c>
      <c r="B38" s="957" t="s">
        <v>218</v>
      </c>
      <c r="C38" s="957" t="s">
        <v>3521</v>
      </c>
      <c r="D38" s="942" t="s">
        <v>3116</v>
      </c>
      <c r="E38" s="940"/>
      <c r="F38" s="969"/>
      <c r="G38" s="940" t="s">
        <v>3167</v>
      </c>
      <c r="H38" s="969"/>
      <c r="I38" s="940"/>
    </row>
    <row r="39" spans="1:9" ht="15" customHeight="1" x14ac:dyDescent="0.2">
      <c r="A39" s="949">
        <v>34</v>
      </c>
      <c r="B39" s="957" t="s">
        <v>1367</v>
      </c>
      <c r="C39" s="957" t="s">
        <v>3521</v>
      </c>
      <c r="D39" s="942" t="s">
        <v>3168</v>
      </c>
      <c r="E39" s="940"/>
      <c r="F39" s="969"/>
      <c r="G39" s="940"/>
      <c r="H39" s="969"/>
      <c r="I39" s="940"/>
    </row>
    <row r="40" spans="1:9" ht="15" customHeight="1" x14ac:dyDescent="0.2">
      <c r="A40" s="949">
        <v>35</v>
      </c>
      <c r="B40" s="957" t="s">
        <v>3169</v>
      </c>
      <c r="C40" s="957" t="s">
        <v>3521</v>
      </c>
      <c r="D40" s="942" t="s">
        <v>3152</v>
      </c>
      <c r="E40" s="940"/>
      <c r="F40" s="969"/>
      <c r="G40" s="940"/>
      <c r="H40" s="969"/>
      <c r="I40" s="940"/>
    </row>
    <row r="41" spans="1:9" ht="15" customHeight="1" x14ac:dyDescent="0.2">
      <c r="A41" s="949">
        <v>36</v>
      </c>
      <c r="B41" s="957" t="s">
        <v>1101</v>
      </c>
      <c r="C41" s="957" t="s">
        <v>3521</v>
      </c>
      <c r="D41" s="942" t="s">
        <v>3170</v>
      </c>
      <c r="E41" s="940"/>
      <c r="F41" s="969"/>
      <c r="G41" s="940"/>
      <c r="H41" s="969"/>
      <c r="I41" s="940"/>
    </row>
    <row r="42" spans="1:9" ht="15" customHeight="1" x14ac:dyDescent="0.2">
      <c r="A42" s="949">
        <v>41</v>
      </c>
      <c r="B42" s="957" t="s">
        <v>187</v>
      </c>
      <c r="C42" s="957" t="s">
        <v>3521</v>
      </c>
      <c r="D42" s="942" t="s">
        <v>3176</v>
      </c>
      <c r="E42" s="940"/>
      <c r="F42" s="969"/>
      <c r="G42" s="940"/>
      <c r="H42" s="969"/>
      <c r="I42" s="940"/>
    </row>
    <row r="43" spans="1:9" ht="15" customHeight="1" x14ac:dyDescent="0.2">
      <c r="A43" s="949">
        <v>49</v>
      </c>
      <c r="B43" s="957" t="s">
        <v>268</v>
      </c>
      <c r="C43" s="957" t="s">
        <v>3521</v>
      </c>
      <c r="D43" s="942" t="s">
        <v>3183</v>
      </c>
      <c r="E43" s="940"/>
      <c r="F43" s="969"/>
      <c r="G43" s="940"/>
      <c r="H43" s="969"/>
      <c r="I43" s="940"/>
    </row>
    <row r="44" spans="1:9" ht="15" customHeight="1" x14ac:dyDescent="0.2">
      <c r="A44" s="949">
        <v>50</v>
      </c>
      <c r="B44" s="957" t="s">
        <v>3184</v>
      </c>
      <c r="C44" s="957" t="s">
        <v>3521</v>
      </c>
      <c r="D44" s="942" t="s">
        <v>3185</v>
      </c>
      <c r="E44" s="940"/>
      <c r="F44" s="969"/>
      <c r="G44" s="940"/>
      <c r="H44" s="969"/>
      <c r="I44" s="940"/>
    </row>
    <row r="45" spans="1:9" ht="15" customHeight="1" x14ac:dyDescent="0.2">
      <c r="A45" s="949">
        <v>51</v>
      </c>
      <c r="B45" s="957" t="s">
        <v>1502</v>
      </c>
      <c r="C45" s="957" t="s">
        <v>3521</v>
      </c>
      <c r="D45" s="942" t="s">
        <v>3186</v>
      </c>
      <c r="E45" s="940"/>
      <c r="F45" s="969"/>
      <c r="G45" s="940"/>
      <c r="H45" s="969"/>
      <c r="I45" s="940"/>
    </row>
    <row r="46" spans="1:9" ht="36" customHeight="1" x14ac:dyDescent="0.2">
      <c r="A46" s="949">
        <v>57</v>
      </c>
      <c r="B46" s="957" t="s">
        <v>264</v>
      </c>
      <c r="C46" s="957" t="s">
        <v>3520</v>
      </c>
      <c r="D46" s="942" t="s">
        <v>3108</v>
      </c>
      <c r="E46" s="940" t="s">
        <v>4075</v>
      </c>
      <c r="F46" s="969" t="s">
        <v>3928</v>
      </c>
      <c r="G46" s="940"/>
      <c r="H46" s="969"/>
      <c r="I46" s="940"/>
    </row>
    <row r="47" spans="1:9" ht="15" customHeight="1" x14ac:dyDescent="0.25">
      <c r="A47" s="949">
        <v>67</v>
      </c>
      <c r="B47" s="1007" t="s">
        <v>2201</v>
      </c>
      <c r="C47" s="957" t="s">
        <v>3520</v>
      </c>
      <c r="D47" s="942" t="s">
        <v>3199</v>
      </c>
      <c r="E47" s="940"/>
      <c r="F47" s="969"/>
      <c r="G47" s="940" t="s">
        <v>3639</v>
      </c>
      <c r="H47" s="969" t="s">
        <v>3551</v>
      </c>
      <c r="I47" s="940" t="s">
        <v>3337</v>
      </c>
    </row>
    <row r="48" spans="1:9" ht="15" customHeight="1" x14ac:dyDescent="0.2">
      <c r="A48" s="949">
        <v>73</v>
      </c>
      <c r="B48" s="957" t="s">
        <v>1549</v>
      </c>
      <c r="C48" s="957" t="s">
        <v>3521</v>
      </c>
      <c r="D48" s="942" t="s">
        <v>3204</v>
      </c>
      <c r="E48" s="940"/>
      <c r="F48" s="969"/>
      <c r="G48" s="940"/>
      <c r="H48" s="969"/>
      <c r="I48" s="940"/>
    </row>
    <row r="49" spans="1:9" ht="25.5" customHeight="1" x14ac:dyDescent="0.2">
      <c r="A49" s="949">
        <v>74</v>
      </c>
      <c r="B49" s="957" t="s">
        <v>1601</v>
      </c>
      <c r="C49" s="957" t="s">
        <v>3521</v>
      </c>
      <c r="D49" s="942" t="s">
        <v>3205</v>
      </c>
      <c r="E49" s="940"/>
      <c r="F49" s="969"/>
      <c r="G49" s="940"/>
      <c r="H49" s="969"/>
      <c r="I49" s="940"/>
    </row>
    <row r="50" spans="1:9" ht="15" customHeight="1" x14ac:dyDescent="0.2">
      <c r="A50" s="949">
        <v>78</v>
      </c>
      <c r="B50" s="957" t="s">
        <v>3208</v>
      </c>
      <c r="C50" s="957" t="s">
        <v>3521</v>
      </c>
      <c r="D50" s="942" t="s">
        <v>3209</v>
      </c>
      <c r="E50" s="940"/>
      <c r="F50" s="969"/>
      <c r="G50" s="940"/>
      <c r="H50" s="969"/>
      <c r="I50" s="940"/>
    </row>
    <row r="51" spans="1:9" ht="15" customHeight="1" x14ac:dyDescent="0.2">
      <c r="A51" s="949">
        <v>80</v>
      </c>
      <c r="B51" s="957" t="s">
        <v>3211</v>
      </c>
      <c r="C51" s="957" t="s">
        <v>3521</v>
      </c>
      <c r="D51" s="959" t="s">
        <v>3113</v>
      </c>
      <c r="E51" s="940"/>
      <c r="F51" s="969"/>
      <c r="G51" s="940"/>
      <c r="H51" s="969"/>
      <c r="I51" s="940"/>
    </row>
    <row r="52" spans="1:9" ht="15" customHeight="1" x14ac:dyDescent="0.2">
      <c r="A52" s="949">
        <v>82</v>
      </c>
      <c r="B52" s="957" t="s">
        <v>3213</v>
      </c>
      <c r="C52" s="957" t="s">
        <v>3521</v>
      </c>
      <c r="D52" s="942" t="s">
        <v>3189</v>
      </c>
      <c r="E52" s="940"/>
      <c r="F52" s="969"/>
      <c r="G52" s="940"/>
      <c r="H52" s="969"/>
      <c r="I52" s="940"/>
    </row>
    <row r="53" spans="1:9" ht="15" customHeight="1" x14ac:dyDescent="0.2">
      <c r="A53" s="949">
        <v>85</v>
      </c>
      <c r="B53" s="957" t="s">
        <v>3215</v>
      </c>
      <c r="C53" s="957" t="s">
        <v>3521</v>
      </c>
      <c r="D53" s="942" t="s">
        <v>3216</v>
      </c>
      <c r="E53" s="940"/>
      <c r="F53" s="969"/>
      <c r="G53" s="940"/>
      <c r="H53" s="969"/>
      <c r="I53" s="940"/>
    </row>
    <row r="54" spans="1:9" ht="15" customHeight="1" x14ac:dyDescent="0.2">
      <c r="A54" s="949">
        <v>86</v>
      </c>
      <c r="B54" s="957" t="s">
        <v>3217</v>
      </c>
      <c r="C54" s="957" t="s">
        <v>3521</v>
      </c>
      <c r="D54" s="942" t="s">
        <v>3218</v>
      </c>
      <c r="E54" s="940"/>
      <c r="F54" s="969"/>
      <c r="G54" s="940"/>
      <c r="H54" s="969"/>
      <c r="I54" s="940"/>
    </row>
    <row r="55" spans="1:9" ht="15" customHeight="1" x14ac:dyDescent="0.2">
      <c r="A55" s="949">
        <v>87</v>
      </c>
      <c r="B55" s="957" t="s">
        <v>3219</v>
      </c>
      <c r="C55" s="957" t="s">
        <v>3521</v>
      </c>
      <c r="D55" s="942" t="s">
        <v>3126</v>
      </c>
      <c r="E55" s="940"/>
      <c r="F55" s="969"/>
      <c r="G55" s="940"/>
      <c r="H55" s="969"/>
      <c r="I55" s="940"/>
    </row>
    <row r="56" spans="1:9" ht="15" customHeight="1" x14ac:dyDescent="0.2">
      <c r="A56" s="949">
        <v>88</v>
      </c>
      <c r="B56" s="957" t="s">
        <v>3220</v>
      </c>
      <c r="C56" s="957" t="s">
        <v>3521</v>
      </c>
      <c r="D56" s="942" t="s">
        <v>3164</v>
      </c>
      <c r="E56" s="940"/>
      <c r="F56" s="969"/>
      <c r="G56" s="940"/>
      <c r="H56" s="969"/>
      <c r="I56" s="940"/>
    </row>
    <row r="57" spans="1:9" ht="15" customHeight="1" x14ac:dyDescent="0.2">
      <c r="A57" s="949">
        <v>89</v>
      </c>
      <c r="B57" s="957" t="s">
        <v>3221</v>
      </c>
      <c r="C57" s="957" t="s">
        <v>3521</v>
      </c>
      <c r="D57" s="942" t="s">
        <v>3165</v>
      </c>
      <c r="E57" s="940"/>
      <c r="F57" s="969"/>
      <c r="G57" s="940" t="s">
        <v>3222</v>
      </c>
      <c r="H57" s="969"/>
      <c r="I57" s="940"/>
    </row>
    <row r="58" spans="1:9" ht="15" customHeight="1" x14ac:dyDescent="0.2">
      <c r="A58" s="949">
        <v>90</v>
      </c>
      <c r="B58" s="957" t="s">
        <v>3223</v>
      </c>
      <c r="C58" s="957" t="s">
        <v>3521</v>
      </c>
      <c r="D58" s="942" t="s">
        <v>3224</v>
      </c>
      <c r="E58" s="940"/>
      <c r="F58" s="969"/>
      <c r="G58" s="940" t="s">
        <v>3225</v>
      </c>
      <c r="H58" s="969"/>
      <c r="I58" s="940"/>
    </row>
    <row r="59" spans="1:9" ht="15" customHeight="1" x14ac:dyDescent="0.2">
      <c r="A59" s="949">
        <v>91</v>
      </c>
      <c r="B59" s="957" t="s">
        <v>3226</v>
      </c>
      <c r="C59" s="957" t="s">
        <v>3521</v>
      </c>
      <c r="D59" s="942" t="s">
        <v>3227</v>
      </c>
      <c r="E59" s="940"/>
      <c r="F59" s="969"/>
      <c r="G59" s="940"/>
      <c r="H59" s="969"/>
      <c r="I59" s="940"/>
    </row>
    <row r="60" spans="1:9" ht="15" customHeight="1" x14ac:dyDescent="0.2">
      <c r="A60" s="949">
        <v>93</v>
      </c>
      <c r="B60" s="957" t="s">
        <v>3229</v>
      </c>
      <c r="C60" s="957" t="s">
        <v>3521</v>
      </c>
      <c r="D60" s="942" t="s">
        <v>3230</v>
      </c>
      <c r="E60" s="940"/>
      <c r="F60" s="969"/>
      <c r="G60" s="940"/>
      <c r="H60" s="969"/>
      <c r="I60" s="940"/>
    </row>
    <row r="61" spans="1:9" ht="31.5" customHeight="1" x14ac:dyDescent="0.2">
      <c r="A61" s="949">
        <v>94</v>
      </c>
      <c r="B61" s="957" t="s">
        <v>3231</v>
      </c>
      <c r="C61" s="957" t="s">
        <v>3521</v>
      </c>
      <c r="D61" s="942" t="s">
        <v>3232</v>
      </c>
      <c r="E61" s="940"/>
      <c r="F61" s="969"/>
      <c r="G61" s="940"/>
      <c r="H61" s="969"/>
      <c r="I61" s="940"/>
    </row>
    <row r="62" spans="1:9" ht="15" customHeight="1" x14ac:dyDescent="0.2">
      <c r="A62" s="949">
        <v>95</v>
      </c>
      <c r="B62" s="957" t="s">
        <v>246</v>
      </c>
      <c r="C62" s="957" t="s">
        <v>3521</v>
      </c>
      <c r="D62" s="942" t="s">
        <v>3233</v>
      </c>
      <c r="E62" s="940"/>
      <c r="F62" s="969"/>
      <c r="G62" s="940"/>
      <c r="H62" s="969"/>
      <c r="I62" s="940"/>
    </row>
    <row r="63" spans="1:9" ht="15" customHeight="1" x14ac:dyDescent="0.2">
      <c r="A63" s="949">
        <v>96</v>
      </c>
      <c r="B63" s="957" t="s">
        <v>3234</v>
      </c>
      <c r="C63" s="957" t="s">
        <v>3521</v>
      </c>
      <c r="D63" s="959" t="s">
        <v>3235</v>
      </c>
      <c r="E63" s="940"/>
      <c r="F63" s="969"/>
      <c r="G63" s="940"/>
      <c r="H63" s="969"/>
      <c r="I63" s="940"/>
    </row>
    <row r="64" spans="1:9" ht="15" customHeight="1" x14ac:dyDescent="0.2">
      <c r="A64" s="949">
        <v>98</v>
      </c>
      <c r="B64" s="957" t="s">
        <v>3238</v>
      </c>
      <c r="C64" s="957" t="s">
        <v>3521</v>
      </c>
      <c r="D64" s="942" t="s">
        <v>3239</v>
      </c>
      <c r="E64" s="940"/>
      <c r="F64" s="969"/>
      <c r="G64" s="940"/>
      <c r="H64" s="969"/>
      <c r="I64" s="940"/>
    </row>
    <row r="65" spans="1:9" ht="15" customHeight="1" x14ac:dyDescent="0.2">
      <c r="A65" s="949">
        <v>99</v>
      </c>
      <c r="B65" s="957" t="s">
        <v>3240</v>
      </c>
      <c r="C65" s="957" t="s">
        <v>3521</v>
      </c>
      <c r="D65" s="942" t="s">
        <v>3241</v>
      </c>
      <c r="E65" s="940"/>
      <c r="F65" s="969"/>
      <c r="G65" s="940" t="s">
        <v>3242</v>
      </c>
      <c r="H65" s="969"/>
      <c r="I65" s="940"/>
    </row>
    <row r="66" spans="1:9" ht="15" customHeight="1" x14ac:dyDescent="0.2">
      <c r="A66" s="949">
        <v>100</v>
      </c>
      <c r="B66" s="957" t="s">
        <v>3243</v>
      </c>
      <c r="C66" s="957" t="s">
        <v>3521</v>
      </c>
      <c r="D66" s="942" t="s">
        <v>3244</v>
      </c>
      <c r="E66" s="940"/>
      <c r="F66" s="969"/>
      <c r="G66" s="940"/>
      <c r="H66" s="969"/>
      <c r="I66" s="940"/>
    </row>
    <row r="67" spans="1:9" ht="15" customHeight="1" x14ac:dyDescent="0.2">
      <c r="A67" s="949">
        <v>107</v>
      </c>
      <c r="B67" s="957" t="s">
        <v>3251</v>
      </c>
      <c r="C67" s="957" t="s">
        <v>3521</v>
      </c>
      <c r="D67" s="942" t="s">
        <v>3252</v>
      </c>
      <c r="E67" s="940"/>
      <c r="F67" s="969"/>
      <c r="G67" s="940"/>
      <c r="H67" s="969"/>
      <c r="I67" s="940"/>
    </row>
    <row r="68" spans="1:9" ht="23.25" customHeight="1" x14ac:dyDescent="0.2">
      <c r="A68" s="949">
        <v>108</v>
      </c>
      <c r="B68" s="957" t="s">
        <v>3253</v>
      </c>
      <c r="C68" s="957" t="s">
        <v>3521</v>
      </c>
      <c r="D68" s="942" t="s">
        <v>3254</v>
      </c>
      <c r="E68" s="940"/>
      <c r="F68" s="969"/>
      <c r="G68" s="940"/>
      <c r="H68" s="969"/>
      <c r="I68" s="940"/>
    </row>
    <row r="69" spans="1:9" ht="15" customHeight="1" x14ac:dyDescent="0.2">
      <c r="A69" s="949">
        <v>109</v>
      </c>
      <c r="B69" s="957" t="s">
        <v>3255</v>
      </c>
      <c r="C69" s="957" t="s">
        <v>3521</v>
      </c>
      <c r="D69" s="942" t="s">
        <v>3256</v>
      </c>
      <c r="E69" s="940"/>
      <c r="F69" s="969"/>
      <c r="G69" s="940"/>
      <c r="H69" s="969"/>
      <c r="I69" s="940"/>
    </row>
    <row r="70" spans="1:9" ht="15" customHeight="1" x14ac:dyDescent="0.2">
      <c r="A70" s="949">
        <v>110</v>
      </c>
      <c r="B70" s="957" t="s">
        <v>3257</v>
      </c>
      <c r="C70" s="957" t="s">
        <v>3521</v>
      </c>
      <c r="D70" s="942" t="s">
        <v>3258</v>
      </c>
      <c r="E70" s="940"/>
      <c r="F70" s="969"/>
      <c r="G70" s="940"/>
      <c r="H70" s="969"/>
      <c r="I70" s="940"/>
    </row>
    <row r="71" spans="1:9" ht="27.75" customHeight="1" x14ac:dyDescent="0.2">
      <c r="A71" s="949">
        <v>111</v>
      </c>
      <c r="B71" s="957" t="s">
        <v>3259</v>
      </c>
      <c r="C71" s="957" t="s">
        <v>3528</v>
      </c>
      <c r="D71" s="942" t="s">
        <v>3260</v>
      </c>
      <c r="E71" s="940"/>
      <c r="F71" s="969"/>
      <c r="G71" s="940" t="s">
        <v>3650</v>
      </c>
      <c r="H71" s="969"/>
      <c r="I71" s="940"/>
    </row>
    <row r="72" spans="1:9" ht="15" customHeight="1" x14ac:dyDescent="0.25">
      <c r="A72" s="949">
        <v>113</v>
      </c>
      <c r="B72" s="1007" t="s">
        <v>1606</v>
      </c>
      <c r="C72" s="957" t="s">
        <v>3520</v>
      </c>
      <c r="D72" s="942" t="s">
        <v>3261</v>
      </c>
      <c r="E72" s="940"/>
      <c r="F72" s="969"/>
      <c r="G72" s="940"/>
      <c r="H72" s="969"/>
      <c r="I72" s="940"/>
    </row>
    <row r="73" spans="1:9" ht="15" customHeight="1" x14ac:dyDescent="0.2">
      <c r="A73" s="949">
        <v>114</v>
      </c>
      <c r="B73" s="957" t="s">
        <v>239</v>
      </c>
      <c r="C73" s="957" t="s">
        <v>3521</v>
      </c>
      <c r="D73" s="942" t="s">
        <v>3262</v>
      </c>
      <c r="E73" s="940"/>
      <c r="F73" s="969"/>
      <c r="G73" s="940"/>
      <c r="H73" s="969"/>
      <c r="I73" s="940"/>
    </row>
    <row r="74" spans="1:9" ht="15" customHeight="1" x14ac:dyDescent="0.2">
      <c r="A74" s="949">
        <v>116</v>
      </c>
      <c r="B74" s="957" t="s">
        <v>3264</v>
      </c>
      <c r="C74" s="957" t="s">
        <v>3521</v>
      </c>
      <c r="D74" s="942" t="s">
        <v>3224</v>
      </c>
      <c r="E74" s="940"/>
      <c r="F74" s="969"/>
      <c r="G74" s="940"/>
      <c r="H74" s="969"/>
      <c r="I74" s="940"/>
    </row>
    <row r="75" spans="1:9" ht="15" customHeight="1" x14ac:dyDescent="0.2">
      <c r="A75" s="949">
        <v>117</v>
      </c>
      <c r="B75" s="957" t="s">
        <v>3265</v>
      </c>
      <c r="C75" s="957" t="s">
        <v>3521</v>
      </c>
      <c r="D75" s="942" t="s">
        <v>3266</v>
      </c>
      <c r="E75" s="940"/>
      <c r="F75" s="969"/>
      <c r="G75" s="940"/>
      <c r="H75" s="969"/>
      <c r="I75" s="940"/>
    </row>
    <row r="76" spans="1:9" ht="15" customHeight="1" x14ac:dyDescent="0.2">
      <c r="A76" s="949">
        <v>121</v>
      </c>
      <c r="B76" s="957" t="s">
        <v>3270</v>
      </c>
      <c r="C76" s="957" t="s">
        <v>3521</v>
      </c>
      <c r="D76" s="942" t="s">
        <v>3271</v>
      </c>
      <c r="E76" s="940"/>
      <c r="F76" s="969"/>
      <c r="G76" s="940"/>
      <c r="H76" s="969"/>
      <c r="I76" s="940"/>
    </row>
    <row r="77" spans="1:9" ht="15" customHeight="1" x14ac:dyDescent="0.2">
      <c r="A77" s="949">
        <v>123</v>
      </c>
      <c r="B77" s="957" t="s">
        <v>3273</v>
      </c>
      <c r="C77" s="957" t="s">
        <v>3521</v>
      </c>
      <c r="D77" s="942" t="s">
        <v>3274</v>
      </c>
      <c r="E77" s="940"/>
      <c r="F77" s="969"/>
      <c r="G77" s="940"/>
      <c r="H77" s="969"/>
      <c r="I77" s="940"/>
    </row>
    <row r="78" spans="1:9" ht="15" customHeight="1" x14ac:dyDescent="0.2">
      <c r="A78" s="949">
        <v>124</v>
      </c>
      <c r="B78" s="957" t="s">
        <v>3275</v>
      </c>
      <c r="C78" s="957" t="s">
        <v>3521</v>
      </c>
      <c r="D78" s="942" t="s">
        <v>3276</v>
      </c>
      <c r="E78" s="940"/>
      <c r="F78" s="969"/>
      <c r="G78" s="940"/>
      <c r="H78" s="969"/>
      <c r="I78" s="940"/>
    </row>
    <row r="79" spans="1:9" ht="15" customHeight="1" x14ac:dyDescent="0.2">
      <c r="A79" s="949">
        <v>125</v>
      </c>
      <c r="B79" s="957" t="s">
        <v>3277</v>
      </c>
      <c r="C79" s="957" t="s">
        <v>3521</v>
      </c>
      <c r="D79" s="942" t="s">
        <v>3278</v>
      </c>
      <c r="E79" s="940"/>
      <c r="F79" s="969"/>
      <c r="G79" s="940"/>
      <c r="H79" s="969"/>
      <c r="I79" s="940"/>
    </row>
    <row r="80" spans="1:9" ht="15" customHeight="1" x14ac:dyDescent="0.2">
      <c r="A80" s="949">
        <v>134</v>
      </c>
      <c r="B80" s="957" t="s">
        <v>3282</v>
      </c>
      <c r="C80" s="957" t="s">
        <v>3521</v>
      </c>
      <c r="D80" s="942" t="s">
        <v>3283</v>
      </c>
      <c r="E80" s="940"/>
      <c r="F80" s="969"/>
      <c r="G80" s="940"/>
      <c r="H80" s="969"/>
      <c r="I80" s="940"/>
    </row>
    <row r="81" spans="1:9" ht="15" customHeight="1" x14ac:dyDescent="0.2">
      <c r="A81" s="949">
        <v>135</v>
      </c>
      <c r="B81" s="957" t="s">
        <v>3284</v>
      </c>
      <c r="C81" s="957" t="s">
        <v>3521</v>
      </c>
      <c r="D81" s="942" t="s">
        <v>3285</v>
      </c>
      <c r="E81" s="940"/>
      <c r="F81" s="969"/>
      <c r="G81" s="940"/>
      <c r="H81" s="969"/>
      <c r="I81" s="940"/>
    </row>
    <row r="82" spans="1:9" ht="15" customHeight="1" x14ac:dyDescent="0.2">
      <c r="A82" s="949">
        <v>139</v>
      </c>
      <c r="B82" s="957" t="s">
        <v>3289</v>
      </c>
      <c r="C82" s="957" t="s">
        <v>3521</v>
      </c>
      <c r="D82" s="942" t="s">
        <v>3290</v>
      </c>
      <c r="E82" s="940"/>
      <c r="F82" s="969"/>
      <c r="G82" s="940"/>
      <c r="H82" s="969"/>
      <c r="I82" s="940"/>
    </row>
    <row r="83" spans="1:9" ht="15" customHeight="1" x14ac:dyDescent="0.2">
      <c r="A83" s="949">
        <v>140</v>
      </c>
      <c r="B83" s="957" t="s">
        <v>3291</v>
      </c>
      <c r="C83" s="957" t="s">
        <v>3521</v>
      </c>
      <c r="D83" s="942" t="s">
        <v>3292</v>
      </c>
      <c r="E83" s="940"/>
      <c r="F83" s="969"/>
      <c r="G83" s="940"/>
      <c r="H83" s="969"/>
      <c r="I83" s="940"/>
    </row>
    <row r="84" spans="1:9" ht="15" customHeight="1" x14ac:dyDescent="0.2">
      <c r="A84" s="949">
        <v>141</v>
      </c>
      <c r="B84" s="957" t="s">
        <v>3293</v>
      </c>
      <c r="C84" s="957" t="s">
        <v>3521</v>
      </c>
      <c r="D84" s="942" t="s">
        <v>3143</v>
      </c>
      <c r="E84" s="940"/>
      <c r="F84" s="969"/>
      <c r="G84" s="940"/>
      <c r="H84" s="969"/>
      <c r="I84" s="940"/>
    </row>
    <row r="85" spans="1:9" ht="15" customHeight="1" x14ac:dyDescent="0.2">
      <c r="A85" s="949">
        <v>142</v>
      </c>
      <c r="B85" s="957" t="s">
        <v>78</v>
      </c>
      <c r="C85" s="957" t="s">
        <v>3521</v>
      </c>
      <c r="D85" s="942" t="s">
        <v>3294</v>
      </c>
      <c r="E85" s="940"/>
      <c r="F85" s="969"/>
      <c r="G85" s="940" t="s">
        <v>3572</v>
      </c>
      <c r="H85" s="969"/>
      <c r="I85" s="940"/>
    </row>
    <row r="86" spans="1:9" ht="15" customHeight="1" x14ac:dyDescent="0.2">
      <c r="A86" s="949">
        <v>143</v>
      </c>
      <c r="B86" s="957" t="s">
        <v>3295</v>
      </c>
      <c r="C86" s="957" t="s">
        <v>3521</v>
      </c>
      <c r="D86" s="942" t="s">
        <v>3296</v>
      </c>
      <c r="E86" s="940"/>
      <c r="F86" s="969"/>
      <c r="G86" s="940"/>
      <c r="H86" s="969"/>
      <c r="I86" s="940"/>
    </row>
    <row r="87" spans="1:9" ht="39.75" customHeight="1" x14ac:dyDescent="0.25">
      <c r="A87" s="949">
        <v>144</v>
      </c>
      <c r="B87" s="1007" t="s">
        <v>2144</v>
      </c>
      <c r="C87" s="957" t="s">
        <v>3520</v>
      </c>
      <c r="D87" s="942" t="s">
        <v>3297</v>
      </c>
      <c r="E87" s="940" t="s">
        <v>3907</v>
      </c>
      <c r="F87" s="969" t="s">
        <v>3502</v>
      </c>
      <c r="G87" s="940" t="s">
        <v>3976</v>
      </c>
      <c r="H87" s="969"/>
      <c r="I87" s="940"/>
    </row>
    <row r="88" spans="1:9" ht="15" customHeight="1" x14ac:dyDescent="0.2">
      <c r="A88" s="949">
        <v>148</v>
      </c>
      <c r="B88" s="957" t="s">
        <v>3300</v>
      </c>
      <c r="C88" s="957" t="s">
        <v>3521</v>
      </c>
      <c r="D88" s="942" t="s">
        <v>3301</v>
      </c>
      <c r="E88" s="940"/>
      <c r="F88" s="969"/>
      <c r="G88" s="940"/>
      <c r="H88" s="969"/>
      <c r="I88" s="940"/>
    </row>
    <row r="89" spans="1:9" ht="15" customHeight="1" x14ac:dyDescent="0.2">
      <c r="A89" s="949">
        <v>149</v>
      </c>
      <c r="B89" s="957" t="s">
        <v>213</v>
      </c>
      <c r="C89" s="957" t="s">
        <v>3521</v>
      </c>
      <c r="D89" s="942" t="s">
        <v>3302</v>
      </c>
      <c r="E89" s="940"/>
      <c r="F89" s="969"/>
      <c r="G89" s="940"/>
      <c r="H89" s="969"/>
      <c r="I89" s="940"/>
    </row>
    <row r="90" spans="1:9" ht="15" customHeight="1" x14ac:dyDescent="0.2">
      <c r="A90" s="949">
        <v>150</v>
      </c>
      <c r="B90" s="957" t="s">
        <v>3303</v>
      </c>
      <c r="C90" s="957" t="s">
        <v>3521</v>
      </c>
      <c r="D90" s="942" t="s">
        <v>3107</v>
      </c>
      <c r="E90" s="940"/>
      <c r="F90" s="969"/>
      <c r="G90" s="940"/>
      <c r="H90" s="969"/>
      <c r="I90" s="940"/>
    </row>
    <row r="91" spans="1:9" ht="15" customHeight="1" x14ac:dyDescent="0.2">
      <c r="A91" s="949">
        <v>151</v>
      </c>
      <c r="B91" s="957" t="s">
        <v>3304</v>
      </c>
      <c r="C91" s="957" t="s">
        <v>3521</v>
      </c>
      <c r="D91" s="942" t="s">
        <v>3305</v>
      </c>
      <c r="E91" s="940"/>
      <c r="F91" s="969"/>
      <c r="G91" s="940"/>
      <c r="H91" s="969"/>
      <c r="I91" s="940"/>
    </row>
    <row r="92" spans="1:9" ht="15" customHeight="1" x14ac:dyDescent="0.2">
      <c r="A92" s="949">
        <v>152</v>
      </c>
      <c r="B92" s="957" t="s">
        <v>3306</v>
      </c>
      <c r="C92" s="957" t="s">
        <v>3521</v>
      </c>
      <c r="D92" s="942" t="s">
        <v>3307</v>
      </c>
      <c r="E92" s="940"/>
      <c r="F92" s="969"/>
      <c r="G92" s="940"/>
      <c r="H92" s="969"/>
      <c r="I92" s="940"/>
    </row>
    <row r="93" spans="1:9" ht="27.75" customHeight="1" x14ac:dyDescent="0.2">
      <c r="A93" s="949">
        <v>153</v>
      </c>
      <c r="B93" s="957" t="s">
        <v>3308</v>
      </c>
      <c r="C93" s="957" t="s">
        <v>3521</v>
      </c>
      <c r="D93" s="942" t="s">
        <v>3309</v>
      </c>
      <c r="E93" s="940"/>
      <c r="F93" s="969"/>
      <c r="G93" s="940"/>
      <c r="H93" s="969"/>
      <c r="I93" s="940"/>
    </row>
    <row r="94" spans="1:9" ht="28.5" customHeight="1" x14ac:dyDescent="0.2">
      <c r="A94" s="949">
        <v>154</v>
      </c>
      <c r="B94" s="957" t="s">
        <v>252</v>
      </c>
      <c r="C94" s="957" t="s">
        <v>3521</v>
      </c>
      <c r="D94" s="942" t="s">
        <v>3160</v>
      </c>
      <c r="E94" s="940"/>
      <c r="F94" s="969"/>
      <c r="G94" s="940"/>
      <c r="H94" s="969"/>
      <c r="I94" s="940"/>
    </row>
    <row r="95" spans="1:9" ht="33.75" customHeight="1" x14ac:dyDescent="0.2">
      <c r="A95" s="949">
        <v>155</v>
      </c>
      <c r="B95" s="957" t="s">
        <v>3310</v>
      </c>
      <c r="C95" s="957" t="s">
        <v>3521</v>
      </c>
      <c r="D95" s="942" t="s">
        <v>3311</v>
      </c>
      <c r="E95" s="940"/>
      <c r="F95" s="969"/>
      <c r="G95" s="940"/>
      <c r="H95" s="969"/>
      <c r="I95" s="940"/>
    </row>
    <row r="96" spans="1:9" ht="15" customHeight="1" x14ac:dyDescent="0.2">
      <c r="A96" s="949">
        <v>156</v>
      </c>
      <c r="B96" s="957" t="s">
        <v>3223</v>
      </c>
      <c r="C96" s="957" t="s">
        <v>3521</v>
      </c>
      <c r="D96" s="942" t="s">
        <v>3224</v>
      </c>
      <c r="E96" s="940"/>
      <c r="F96" s="969"/>
      <c r="G96" s="940"/>
      <c r="H96" s="969"/>
      <c r="I96" s="940"/>
    </row>
    <row r="97" spans="1:9" ht="15" customHeight="1" x14ac:dyDescent="0.2">
      <c r="A97" s="949">
        <v>157</v>
      </c>
      <c r="B97" s="957" t="s">
        <v>3312</v>
      </c>
      <c r="C97" s="957" t="s">
        <v>3521</v>
      </c>
      <c r="D97" s="942" t="s">
        <v>3115</v>
      </c>
      <c r="E97" s="940"/>
      <c r="F97" s="969"/>
      <c r="G97" s="940"/>
      <c r="H97" s="969"/>
      <c r="I97" s="940"/>
    </row>
    <row r="98" spans="1:9" ht="15" customHeight="1" x14ac:dyDescent="0.2">
      <c r="A98" s="949">
        <v>158</v>
      </c>
      <c r="B98" s="957" t="s">
        <v>3313</v>
      </c>
      <c r="C98" s="957" t="s">
        <v>3521</v>
      </c>
      <c r="D98" s="942" t="s">
        <v>3314</v>
      </c>
      <c r="E98" s="940"/>
      <c r="F98" s="969"/>
      <c r="G98" s="940"/>
      <c r="H98" s="969"/>
      <c r="I98" s="940"/>
    </row>
    <row r="99" spans="1:9" ht="15" customHeight="1" x14ac:dyDescent="0.2">
      <c r="A99" s="949">
        <v>159</v>
      </c>
      <c r="B99" s="957" t="s">
        <v>3315</v>
      </c>
      <c r="C99" s="957" t="s">
        <v>3521</v>
      </c>
      <c r="D99" s="942" t="s">
        <v>3261</v>
      </c>
      <c r="E99" s="940"/>
      <c r="F99" s="969"/>
      <c r="G99" s="940"/>
      <c r="H99" s="969"/>
      <c r="I99" s="940"/>
    </row>
    <row r="100" spans="1:9" ht="15" customHeight="1" x14ac:dyDescent="0.2">
      <c r="A100" s="949">
        <v>160</v>
      </c>
      <c r="B100" s="957" t="s">
        <v>3316</v>
      </c>
      <c r="C100" s="957" t="s">
        <v>3521</v>
      </c>
      <c r="D100" s="942" t="s">
        <v>3317</v>
      </c>
      <c r="E100" s="940"/>
      <c r="F100" s="969"/>
      <c r="G100" s="940"/>
      <c r="H100" s="969"/>
      <c r="I100" s="940"/>
    </row>
    <row r="101" spans="1:9" ht="15" customHeight="1" x14ac:dyDescent="0.2">
      <c r="A101" s="949">
        <v>162</v>
      </c>
      <c r="B101" s="957" t="s">
        <v>3319</v>
      </c>
      <c r="C101" s="957" t="s">
        <v>3521</v>
      </c>
      <c r="D101" s="942" t="s">
        <v>3320</v>
      </c>
      <c r="E101" s="940"/>
      <c r="F101" s="969"/>
      <c r="G101" s="940"/>
      <c r="H101" s="969"/>
      <c r="I101" s="940"/>
    </row>
    <row r="102" spans="1:9" ht="18.75" customHeight="1" x14ac:dyDescent="0.25">
      <c r="A102" s="949">
        <v>163</v>
      </c>
      <c r="B102" s="1007" t="s">
        <v>250</v>
      </c>
      <c r="C102" s="957" t="s">
        <v>3520</v>
      </c>
      <c r="D102" s="942" t="s">
        <v>3321</v>
      </c>
      <c r="E102" s="940"/>
      <c r="F102" s="969"/>
      <c r="G102" s="940"/>
      <c r="H102" s="969"/>
      <c r="I102" s="940"/>
    </row>
    <row r="103" spans="1:9" ht="34.5" customHeight="1" x14ac:dyDescent="0.2">
      <c r="A103" s="949">
        <v>164</v>
      </c>
      <c r="B103" s="957" t="s">
        <v>3322</v>
      </c>
      <c r="C103" s="957" t="s">
        <v>3521</v>
      </c>
      <c r="D103" s="942" t="s">
        <v>3323</v>
      </c>
      <c r="E103" s="940"/>
      <c r="F103" s="969"/>
      <c r="G103" s="940"/>
      <c r="H103" s="969"/>
      <c r="I103" s="940"/>
    </row>
    <row r="104" spans="1:9" ht="15" customHeight="1" x14ac:dyDescent="0.2">
      <c r="A104" s="949">
        <v>165</v>
      </c>
      <c r="B104" s="957" t="s">
        <v>3324</v>
      </c>
      <c r="C104" s="957" t="s">
        <v>3521</v>
      </c>
      <c r="D104" s="942" t="s">
        <v>3325</v>
      </c>
      <c r="E104" s="940"/>
      <c r="F104" s="969"/>
      <c r="G104" s="940"/>
      <c r="H104" s="969"/>
      <c r="I104" s="940"/>
    </row>
    <row r="105" spans="1:9" ht="15" customHeight="1" x14ac:dyDescent="0.2">
      <c r="A105" s="949">
        <v>166</v>
      </c>
      <c r="B105" s="957" t="s">
        <v>168</v>
      </c>
      <c r="C105" s="957" t="s">
        <v>3521</v>
      </c>
      <c r="D105" s="942" t="s">
        <v>3326</v>
      </c>
      <c r="E105" s="940"/>
      <c r="F105" s="969"/>
      <c r="G105" s="940"/>
      <c r="H105" s="969"/>
      <c r="I105" s="940"/>
    </row>
    <row r="106" spans="1:9" ht="15" customHeight="1" x14ac:dyDescent="0.2">
      <c r="A106" s="949">
        <v>167</v>
      </c>
      <c r="B106" s="957" t="s">
        <v>285</v>
      </c>
      <c r="C106" s="957" t="s">
        <v>3521</v>
      </c>
      <c r="D106" s="942" t="s">
        <v>3235</v>
      </c>
      <c r="E106" s="940"/>
      <c r="F106" s="969"/>
      <c r="G106" s="940"/>
      <c r="H106" s="969"/>
      <c r="I106" s="940"/>
    </row>
    <row r="107" spans="1:9" ht="27" customHeight="1" x14ac:dyDescent="0.2">
      <c r="A107" s="949">
        <v>168</v>
      </c>
      <c r="B107" s="957" t="s">
        <v>256</v>
      </c>
      <c r="C107" s="957" t="s">
        <v>3521</v>
      </c>
      <c r="D107" s="942" t="s">
        <v>3327</v>
      </c>
      <c r="E107" s="940"/>
      <c r="F107" s="969"/>
      <c r="G107" s="940"/>
      <c r="H107" s="969"/>
      <c r="I107" s="940"/>
    </row>
    <row r="108" spans="1:9" ht="15" customHeight="1" x14ac:dyDescent="0.25">
      <c r="A108" s="949">
        <v>170</v>
      </c>
      <c r="B108" s="1007" t="s">
        <v>287</v>
      </c>
      <c r="C108" s="957" t="s">
        <v>3520</v>
      </c>
      <c r="D108" s="942" t="s">
        <v>3328</v>
      </c>
      <c r="E108" s="978" t="s">
        <v>3329</v>
      </c>
      <c r="F108" s="969" t="s">
        <v>3330</v>
      </c>
      <c r="G108" s="969"/>
      <c r="H108" s="969" t="s">
        <v>3551</v>
      </c>
      <c r="I108" s="940" t="s">
        <v>3549</v>
      </c>
    </row>
    <row r="109" spans="1:9" ht="15" customHeight="1" x14ac:dyDescent="0.2">
      <c r="A109" s="949">
        <v>176</v>
      </c>
      <c r="B109" s="957" t="s">
        <v>3342</v>
      </c>
      <c r="C109" s="957" t="s">
        <v>3521</v>
      </c>
      <c r="D109" s="942" t="s">
        <v>3343</v>
      </c>
      <c r="E109" s="978" t="s">
        <v>3344</v>
      </c>
      <c r="F109" s="969" t="s">
        <v>3345</v>
      </c>
      <c r="G109" s="969"/>
      <c r="H109" s="969"/>
      <c r="I109" s="940" t="s">
        <v>3345</v>
      </c>
    </row>
    <row r="110" spans="1:9" ht="15" customHeight="1" x14ac:dyDescent="0.2">
      <c r="A110" s="949">
        <v>178</v>
      </c>
      <c r="B110" s="957" t="s">
        <v>3348</v>
      </c>
      <c r="C110" s="957" t="s">
        <v>3521</v>
      </c>
      <c r="D110" s="942" t="s">
        <v>3349</v>
      </c>
      <c r="E110" s="978" t="s">
        <v>3350</v>
      </c>
      <c r="F110" s="969" t="s">
        <v>3337</v>
      </c>
      <c r="G110" s="969"/>
      <c r="H110" s="969"/>
      <c r="I110" s="940" t="s">
        <v>3337</v>
      </c>
    </row>
    <row r="111" spans="1:9" ht="15" customHeight="1" x14ac:dyDescent="0.2">
      <c r="A111" s="949">
        <v>182</v>
      </c>
      <c r="B111" s="957" t="s">
        <v>3357</v>
      </c>
      <c r="C111" s="957" t="s">
        <v>3521</v>
      </c>
      <c r="D111" s="942" t="s">
        <v>3358</v>
      </c>
      <c r="E111" s="978" t="s">
        <v>3359</v>
      </c>
      <c r="F111" s="969" t="s">
        <v>3330</v>
      </c>
      <c r="G111" s="969"/>
      <c r="H111" s="969"/>
      <c r="I111" s="940" t="s">
        <v>3330</v>
      </c>
    </row>
    <row r="112" spans="1:9" ht="15" customHeight="1" x14ac:dyDescent="0.2">
      <c r="A112" s="949">
        <v>187</v>
      </c>
      <c r="B112" s="957" t="s">
        <v>3367</v>
      </c>
      <c r="C112" s="957" t="s">
        <v>3521</v>
      </c>
      <c r="D112" s="942" t="s">
        <v>3368</v>
      </c>
      <c r="E112" s="978" t="s">
        <v>3369</v>
      </c>
      <c r="F112" s="969" t="s">
        <v>3337</v>
      </c>
      <c r="G112" s="969"/>
      <c r="H112" s="969"/>
      <c r="I112" s="940" t="s">
        <v>3337</v>
      </c>
    </row>
    <row r="113" spans="1:9" ht="15" customHeight="1" x14ac:dyDescent="0.2">
      <c r="A113" s="949">
        <v>196</v>
      </c>
      <c r="B113" s="957" t="s">
        <v>3385</v>
      </c>
      <c r="C113" s="957" t="s">
        <v>3521</v>
      </c>
      <c r="D113" s="942" t="s">
        <v>3386</v>
      </c>
      <c r="E113" s="978" t="s">
        <v>3387</v>
      </c>
      <c r="F113" s="969" t="s">
        <v>3380</v>
      </c>
      <c r="G113" s="969"/>
      <c r="H113" s="969"/>
      <c r="I113" s="940" t="s">
        <v>3380</v>
      </c>
    </row>
    <row r="114" spans="1:9" ht="15" customHeight="1" x14ac:dyDescent="0.2">
      <c r="A114" s="949">
        <v>200</v>
      </c>
      <c r="B114" s="957" t="s">
        <v>3393</v>
      </c>
      <c r="C114" s="957" t="s">
        <v>3521</v>
      </c>
      <c r="D114" s="942" t="s">
        <v>3394</v>
      </c>
      <c r="E114" s="978" t="s">
        <v>3395</v>
      </c>
      <c r="F114" s="969" t="s">
        <v>3345</v>
      </c>
      <c r="G114" s="969"/>
      <c r="H114" s="969"/>
      <c r="I114" s="940" t="s">
        <v>3345</v>
      </c>
    </row>
    <row r="115" spans="1:9" ht="15" customHeight="1" x14ac:dyDescent="0.2">
      <c r="A115" s="949">
        <v>218</v>
      </c>
      <c r="B115" s="957" t="s">
        <v>3428</v>
      </c>
      <c r="C115" s="957" t="s">
        <v>3521</v>
      </c>
      <c r="D115" s="942" t="s">
        <v>3429</v>
      </c>
      <c r="E115" s="978" t="s">
        <v>3430</v>
      </c>
      <c r="F115" s="969" t="s">
        <v>3380</v>
      </c>
      <c r="G115" s="969"/>
      <c r="H115" s="969"/>
      <c r="I115" s="940" t="s">
        <v>3380</v>
      </c>
    </row>
    <row r="116" spans="1:9" ht="15" customHeight="1" x14ac:dyDescent="0.2">
      <c r="A116" s="949">
        <v>222</v>
      </c>
      <c r="B116" s="957" t="s">
        <v>3259</v>
      </c>
      <c r="C116" s="957" t="s">
        <v>3521</v>
      </c>
      <c r="D116" s="942" t="s">
        <v>3437</v>
      </c>
      <c r="E116" s="978" t="s">
        <v>3438</v>
      </c>
      <c r="F116" s="969" t="s">
        <v>3380</v>
      </c>
      <c r="G116" s="969"/>
      <c r="H116" s="969"/>
      <c r="I116" s="940" t="s">
        <v>3380</v>
      </c>
    </row>
    <row r="117" spans="1:9" ht="30" customHeight="1" x14ac:dyDescent="0.2">
      <c r="A117" s="949">
        <v>223</v>
      </c>
      <c r="B117" s="957" t="s">
        <v>1478</v>
      </c>
      <c r="C117" s="957" t="s">
        <v>3521</v>
      </c>
      <c r="D117" s="942" t="s">
        <v>3391</v>
      </c>
      <c r="E117" s="978" t="s">
        <v>3439</v>
      </c>
      <c r="F117" s="969" t="s">
        <v>3380</v>
      </c>
      <c r="G117" s="969" t="s">
        <v>3339</v>
      </c>
      <c r="H117" s="969" t="s">
        <v>3552</v>
      </c>
      <c r="I117" s="940" t="s">
        <v>3548</v>
      </c>
    </row>
    <row r="118" spans="1:9" ht="27" customHeight="1" x14ac:dyDescent="0.25">
      <c r="A118" s="949">
        <v>265</v>
      </c>
      <c r="B118" s="976" t="s">
        <v>2804</v>
      </c>
      <c r="C118" s="957" t="s">
        <v>3520</v>
      </c>
      <c r="D118" s="942" t="s">
        <v>3510</v>
      </c>
      <c r="E118" s="978" t="s">
        <v>3511</v>
      </c>
      <c r="F118" s="969" t="s">
        <v>3337</v>
      </c>
      <c r="G118" s="969"/>
      <c r="H118" s="969" t="s">
        <v>3554</v>
      </c>
      <c r="I118" s="940" t="s">
        <v>3337</v>
      </c>
    </row>
    <row r="119" spans="1:9" ht="15" customHeight="1" x14ac:dyDescent="0.2">
      <c r="A119" s="949">
        <v>267</v>
      </c>
      <c r="B119" s="957" t="s">
        <v>2632</v>
      </c>
      <c r="C119" s="957" t="s">
        <v>3521</v>
      </c>
      <c r="D119" s="942" t="s">
        <v>2271</v>
      </c>
      <c r="E119" s="978" t="s">
        <v>3513</v>
      </c>
      <c r="F119" s="969" t="s">
        <v>3502</v>
      </c>
      <c r="G119" s="969"/>
      <c r="H119" s="969" t="s">
        <v>3551</v>
      </c>
      <c r="I119" s="940" t="s">
        <v>3549</v>
      </c>
    </row>
    <row r="120" spans="1:9" ht="15" customHeight="1" x14ac:dyDescent="0.25">
      <c r="A120" s="949">
        <v>268</v>
      </c>
      <c r="B120" s="1007" t="s">
        <v>2597</v>
      </c>
      <c r="C120" s="957" t="s">
        <v>3520</v>
      </c>
      <c r="D120" s="942" t="s">
        <v>3514</v>
      </c>
      <c r="E120" s="978" t="s">
        <v>3515</v>
      </c>
      <c r="F120" s="969" t="s">
        <v>3502</v>
      </c>
      <c r="G120" s="969"/>
      <c r="H120" s="969" t="s">
        <v>3551</v>
      </c>
      <c r="I120" s="940" t="s">
        <v>3549</v>
      </c>
    </row>
    <row r="121" spans="1:9" ht="15" customHeight="1" x14ac:dyDescent="0.25">
      <c r="A121" s="949">
        <v>269</v>
      </c>
      <c r="B121" s="976" t="s">
        <v>2036</v>
      </c>
      <c r="C121" s="957" t="s">
        <v>3520</v>
      </c>
      <c r="D121" s="942" t="s">
        <v>2037</v>
      </c>
      <c r="E121" s="978" t="s">
        <v>3516</v>
      </c>
      <c r="F121" s="969" t="s">
        <v>3502</v>
      </c>
      <c r="G121" s="969"/>
      <c r="H121" s="969" t="s">
        <v>3551</v>
      </c>
      <c r="I121" s="940" t="s">
        <v>3549</v>
      </c>
    </row>
    <row r="122" spans="1:9" ht="15" customHeight="1" x14ac:dyDescent="0.25">
      <c r="A122" s="949">
        <v>270</v>
      </c>
      <c r="B122" s="976" t="s">
        <v>2069</v>
      </c>
      <c r="C122" s="957" t="s">
        <v>3520</v>
      </c>
      <c r="D122" s="942" t="s">
        <v>2068</v>
      </c>
      <c r="E122" s="978" t="s">
        <v>3517</v>
      </c>
      <c r="F122" s="969" t="s">
        <v>3502</v>
      </c>
      <c r="G122" s="969"/>
      <c r="H122" s="969" t="s">
        <v>3551</v>
      </c>
      <c r="I122" s="940" t="s">
        <v>3549</v>
      </c>
    </row>
    <row r="123" spans="1:9" ht="34.5" customHeight="1" x14ac:dyDescent="0.25">
      <c r="A123" s="949">
        <v>291</v>
      </c>
      <c r="B123" s="1016" t="s">
        <v>2521</v>
      </c>
      <c r="C123" s="942" t="s">
        <v>3520</v>
      </c>
      <c r="D123" s="942" t="s">
        <v>1909</v>
      </c>
      <c r="E123" s="940" t="s">
        <v>3664</v>
      </c>
      <c r="F123" s="969" t="s">
        <v>3502</v>
      </c>
      <c r="G123" s="954"/>
      <c r="H123" s="969"/>
      <c r="I123" s="955" t="s">
        <v>3549</v>
      </c>
    </row>
    <row r="124" spans="1:9" ht="15" customHeight="1" x14ac:dyDescent="0.25">
      <c r="A124" s="949">
        <v>292</v>
      </c>
      <c r="B124" s="1016" t="s">
        <v>2575</v>
      </c>
      <c r="C124" s="942" t="s">
        <v>3520</v>
      </c>
      <c r="D124" s="942" t="s">
        <v>233</v>
      </c>
      <c r="E124" s="940"/>
      <c r="F124" s="969"/>
      <c r="G124" s="954" t="s">
        <v>3557</v>
      </c>
      <c r="H124" s="969"/>
      <c r="I124" s="955" t="s">
        <v>3549</v>
      </c>
    </row>
    <row r="125" spans="1:9" ht="33" customHeight="1" x14ac:dyDescent="0.25">
      <c r="A125" s="949">
        <v>293</v>
      </c>
      <c r="B125" s="986" t="s">
        <v>2678</v>
      </c>
      <c r="C125" s="942" t="s">
        <v>3520</v>
      </c>
      <c r="D125" s="942" t="s">
        <v>2681</v>
      </c>
      <c r="E125" s="940" t="s">
        <v>3663</v>
      </c>
      <c r="F125" s="969" t="s">
        <v>3502</v>
      </c>
      <c r="G125" s="954"/>
      <c r="H125" s="969"/>
      <c r="I125" s="955" t="s">
        <v>3549</v>
      </c>
    </row>
    <row r="126" spans="1:9" ht="18" customHeight="1" x14ac:dyDescent="0.2">
      <c r="A126" s="949">
        <v>300</v>
      </c>
      <c r="B126" s="1009" t="s">
        <v>2207</v>
      </c>
      <c r="C126" s="942" t="s">
        <v>3520</v>
      </c>
      <c r="D126" s="942" t="s">
        <v>2208</v>
      </c>
      <c r="E126" s="940" t="s">
        <v>3616</v>
      </c>
      <c r="F126" s="969" t="s">
        <v>3337</v>
      </c>
      <c r="G126" s="969"/>
      <c r="H126" s="969"/>
      <c r="I126" s="940" t="s">
        <v>3549</v>
      </c>
    </row>
    <row r="127" spans="1:9" ht="33.75" customHeight="1" x14ac:dyDescent="0.2">
      <c r="A127" s="949">
        <v>308</v>
      </c>
      <c r="B127" s="989" t="s">
        <v>2469</v>
      </c>
      <c r="C127" s="942" t="s">
        <v>3520</v>
      </c>
      <c r="D127" s="942" t="s">
        <v>1034</v>
      </c>
      <c r="E127" s="940" t="s">
        <v>3571</v>
      </c>
      <c r="F127" s="969"/>
      <c r="G127" s="969" t="s">
        <v>3563</v>
      </c>
      <c r="H127" s="969"/>
      <c r="I127" s="940" t="s">
        <v>3337</v>
      </c>
    </row>
    <row r="128" spans="1:9" ht="33" customHeight="1" x14ac:dyDescent="0.2">
      <c r="A128" s="981">
        <v>401</v>
      </c>
      <c r="B128" s="981" t="s">
        <v>2379</v>
      </c>
      <c r="C128" s="980" t="s">
        <v>3521</v>
      </c>
      <c r="D128" s="980" t="s">
        <v>3202</v>
      </c>
      <c r="E128" s="987" t="s">
        <v>3604</v>
      </c>
      <c r="F128" s="982" t="s">
        <v>3337</v>
      </c>
      <c r="G128" s="988" t="s">
        <v>3690</v>
      </c>
      <c r="H128" s="982"/>
      <c r="I128" s="981"/>
    </row>
    <row r="129" spans="1:9" ht="15" customHeight="1" x14ac:dyDescent="0.2">
      <c r="A129" s="981">
        <v>402</v>
      </c>
      <c r="B129" s="983" t="s">
        <v>2610</v>
      </c>
      <c r="C129" s="980" t="s">
        <v>3520</v>
      </c>
      <c r="D129" s="980" t="s">
        <v>90</v>
      </c>
      <c r="E129" s="987" t="s">
        <v>3605</v>
      </c>
      <c r="F129" s="982" t="s">
        <v>3337</v>
      </c>
      <c r="G129" s="982"/>
      <c r="H129" s="982"/>
      <c r="I129" s="981"/>
    </row>
    <row r="130" spans="1:9" ht="15" customHeight="1" x14ac:dyDescent="0.2">
      <c r="A130" s="949">
        <v>1</v>
      </c>
      <c r="B130" s="956" t="s">
        <v>247</v>
      </c>
      <c r="C130" s="956" t="s">
        <v>3520</v>
      </c>
      <c r="D130" s="942" t="s">
        <v>3102</v>
      </c>
      <c r="E130" s="940"/>
      <c r="F130" s="969"/>
      <c r="G130" s="940"/>
      <c r="H130" s="969"/>
      <c r="I130" s="940"/>
    </row>
    <row r="131" spans="1:9" ht="15" customHeight="1" x14ac:dyDescent="0.2">
      <c r="A131" s="949">
        <v>2</v>
      </c>
      <c r="B131" s="956" t="s">
        <v>248</v>
      </c>
      <c r="C131" s="956" t="s">
        <v>3520</v>
      </c>
      <c r="D131" s="942" t="s">
        <v>3103</v>
      </c>
      <c r="E131" s="940"/>
      <c r="F131" s="969"/>
      <c r="G131" s="940"/>
      <c r="H131" s="969"/>
      <c r="I131" s="940"/>
    </row>
    <row r="132" spans="1:9" ht="15" customHeight="1" x14ac:dyDescent="0.2">
      <c r="A132" s="949">
        <v>3</v>
      </c>
      <c r="B132" s="956" t="s">
        <v>1348</v>
      </c>
      <c r="C132" s="956" t="s">
        <v>3520</v>
      </c>
      <c r="D132" s="942" t="s">
        <v>3104</v>
      </c>
      <c r="E132" s="940"/>
      <c r="F132" s="969"/>
      <c r="G132" s="940"/>
      <c r="H132" s="969"/>
      <c r="I132" s="940"/>
    </row>
    <row r="133" spans="1:9" ht="15" customHeight="1" x14ac:dyDescent="0.2">
      <c r="A133" s="949">
        <v>4</v>
      </c>
      <c r="B133" s="956" t="s">
        <v>1365</v>
      </c>
      <c r="C133" s="956" t="s">
        <v>3520</v>
      </c>
      <c r="D133" s="942" t="s">
        <v>3105</v>
      </c>
      <c r="E133" s="940"/>
      <c r="F133" s="969"/>
      <c r="G133" s="940"/>
      <c r="H133" s="969"/>
      <c r="I133" s="940"/>
    </row>
    <row r="134" spans="1:9" ht="15" customHeight="1" x14ac:dyDescent="0.2">
      <c r="A134" s="949">
        <v>7</v>
      </c>
      <c r="B134" s="956" t="s">
        <v>1158</v>
      </c>
      <c r="C134" s="956" t="s">
        <v>3520</v>
      </c>
      <c r="D134" s="942" t="s">
        <v>3108</v>
      </c>
      <c r="E134" s="940"/>
      <c r="F134" s="969"/>
      <c r="G134" s="940"/>
      <c r="H134" s="969"/>
      <c r="I134" s="940"/>
    </row>
    <row r="135" spans="1:9" ht="30.75" customHeight="1" x14ac:dyDescent="0.2">
      <c r="A135" s="949">
        <v>8</v>
      </c>
      <c r="B135" s="956" t="s">
        <v>283</v>
      </c>
      <c r="C135" s="956" t="s">
        <v>3520</v>
      </c>
      <c r="D135" s="942" t="s">
        <v>3109</v>
      </c>
      <c r="E135" s="940"/>
      <c r="F135" s="969"/>
      <c r="G135" s="940"/>
      <c r="H135" s="969"/>
      <c r="I135" s="940"/>
    </row>
    <row r="136" spans="1:9" ht="15" customHeight="1" x14ac:dyDescent="0.2">
      <c r="A136" s="949">
        <v>9</v>
      </c>
      <c r="B136" s="956" t="s">
        <v>289</v>
      </c>
      <c r="C136" s="956" t="s">
        <v>3520</v>
      </c>
      <c r="D136" s="942" t="s">
        <v>3110</v>
      </c>
      <c r="E136" s="940"/>
      <c r="F136" s="969"/>
      <c r="G136" s="940"/>
      <c r="H136" s="969"/>
      <c r="I136" s="940"/>
    </row>
    <row r="137" spans="1:9" ht="15" customHeight="1" x14ac:dyDescent="0.2">
      <c r="A137" s="949">
        <v>10</v>
      </c>
      <c r="B137" s="956" t="s">
        <v>294</v>
      </c>
      <c r="C137" s="956" t="s">
        <v>3520</v>
      </c>
      <c r="D137" s="942" t="s">
        <v>3111</v>
      </c>
      <c r="E137" s="940"/>
      <c r="F137" s="969"/>
      <c r="G137" s="940"/>
      <c r="H137" s="969"/>
      <c r="I137" s="940"/>
    </row>
    <row r="138" spans="1:9" ht="15" customHeight="1" x14ac:dyDescent="0.2">
      <c r="A138" s="949">
        <v>11</v>
      </c>
      <c r="B138" s="956" t="s">
        <v>278</v>
      </c>
      <c r="C138" s="956" t="s">
        <v>3520</v>
      </c>
      <c r="D138" s="942" t="s">
        <v>3112</v>
      </c>
      <c r="E138" s="940"/>
      <c r="F138" s="969"/>
      <c r="G138" s="940"/>
      <c r="H138" s="969"/>
      <c r="I138" s="940"/>
    </row>
    <row r="139" spans="1:9" ht="41.25" customHeight="1" x14ac:dyDescent="0.25">
      <c r="A139" s="949">
        <v>17</v>
      </c>
      <c r="B139" s="976" t="s">
        <v>1330</v>
      </c>
      <c r="C139" s="957" t="s">
        <v>3520</v>
      </c>
      <c r="D139" s="942" t="s">
        <v>3119</v>
      </c>
      <c r="E139" s="940"/>
      <c r="F139" s="969"/>
      <c r="G139" s="940"/>
      <c r="H139" s="969"/>
      <c r="I139" s="940"/>
    </row>
    <row r="140" spans="1:9" ht="15" customHeight="1" x14ac:dyDescent="0.2">
      <c r="A140" s="949">
        <v>18</v>
      </c>
      <c r="B140" s="958" t="s">
        <v>3120</v>
      </c>
      <c r="C140" s="957" t="s">
        <v>3520</v>
      </c>
      <c r="D140" s="942" t="s">
        <v>3121</v>
      </c>
      <c r="E140" s="940"/>
      <c r="F140" s="969"/>
      <c r="G140" s="940" t="s">
        <v>3122</v>
      </c>
      <c r="H140" s="969"/>
      <c r="I140" s="940"/>
    </row>
    <row r="141" spans="1:9" ht="15" customHeight="1" x14ac:dyDescent="0.2">
      <c r="A141" s="949">
        <v>20</v>
      </c>
      <c r="B141" s="956" t="s">
        <v>400</v>
      </c>
      <c r="C141" s="956" t="s">
        <v>3520</v>
      </c>
      <c r="D141" s="942" t="s">
        <v>3124</v>
      </c>
      <c r="E141" s="940"/>
      <c r="F141" s="969"/>
      <c r="G141" s="940"/>
      <c r="H141" s="969"/>
      <c r="I141" s="940"/>
    </row>
    <row r="142" spans="1:9" ht="15" customHeight="1" x14ac:dyDescent="0.2">
      <c r="A142" s="949">
        <v>21</v>
      </c>
      <c r="B142" s="956" t="s">
        <v>1345</v>
      </c>
      <c r="C142" s="956" t="s">
        <v>3520</v>
      </c>
      <c r="D142" s="942" t="s">
        <v>3125</v>
      </c>
      <c r="E142" s="940"/>
      <c r="F142" s="969"/>
      <c r="G142" s="940"/>
      <c r="H142" s="969"/>
      <c r="I142" s="940"/>
    </row>
    <row r="143" spans="1:9" ht="15" customHeight="1" x14ac:dyDescent="0.2">
      <c r="A143" s="949">
        <v>22</v>
      </c>
      <c r="B143" s="956" t="s">
        <v>548</v>
      </c>
      <c r="C143" s="956" t="s">
        <v>3520</v>
      </c>
      <c r="D143" s="942" t="s">
        <v>3126</v>
      </c>
      <c r="E143" s="940"/>
      <c r="F143" s="969"/>
      <c r="G143" s="940"/>
      <c r="H143" s="969"/>
      <c r="I143" s="940"/>
    </row>
    <row r="144" spans="1:9" ht="15" customHeight="1" x14ac:dyDescent="0.2">
      <c r="A144" s="949">
        <v>23</v>
      </c>
      <c r="B144" s="956" t="s">
        <v>1425</v>
      </c>
      <c r="C144" s="956" t="s">
        <v>3520</v>
      </c>
      <c r="D144" s="959" t="s">
        <v>3127</v>
      </c>
      <c r="E144" s="977"/>
      <c r="F144" s="971"/>
      <c r="G144" s="977"/>
      <c r="H144" s="969"/>
      <c r="I144" s="940"/>
    </row>
    <row r="145" spans="1:9" ht="15" customHeight="1" x14ac:dyDescent="0.25">
      <c r="A145" s="949">
        <v>25</v>
      </c>
      <c r="B145" s="976" t="s">
        <v>3129</v>
      </c>
      <c r="C145" s="957" t="s">
        <v>3520</v>
      </c>
      <c r="D145" s="942" t="s">
        <v>3130</v>
      </c>
      <c r="E145" s="940"/>
      <c r="F145" s="969"/>
      <c r="G145" s="940"/>
      <c r="H145" s="969"/>
      <c r="I145" s="940"/>
    </row>
    <row r="146" spans="1:9" ht="15" customHeight="1" x14ac:dyDescent="0.2">
      <c r="A146" s="949">
        <v>26</v>
      </c>
      <c r="B146" s="956" t="s">
        <v>297</v>
      </c>
      <c r="C146" s="956" t="s">
        <v>3520</v>
      </c>
      <c r="D146" s="942" t="s">
        <v>3131</v>
      </c>
      <c r="E146" s="940"/>
      <c r="F146" s="969"/>
      <c r="G146" s="940"/>
      <c r="H146" s="969"/>
      <c r="I146" s="940"/>
    </row>
    <row r="147" spans="1:9" ht="15" customHeight="1" x14ac:dyDescent="0.2">
      <c r="A147" s="949">
        <v>27</v>
      </c>
      <c r="B147" s="956" t="s">
        <v>1492</v>
      </c>
      <c r="C147" s="956" t="s">
        <v>3520</v>
      </c>
      <c r="D147" s="942" t="s">
        <v>3132</v>
      </c>
      <c r="E147" s="940"/>
      <c r="F147" s="969"/>
      <c r="G147" s="940" t="s">
        <v>3133</v>
      </c>
      <c r="H147" s="969"/>
      <c r="I147" s="940"/>
    </row>
    <row r="148" spans="1:9" ht="15" customHeight="1" x14ac:dyDescent="0.2">
      <c r="A148" s="949">
        <v>1</v>
      </c>
      <c r="B148" s="950" t="s">
        <v>1999</v>
      </c>
      <c r="C148" s="956" t="s">
        <v>3520</v>
      </c>
      <c r="D148" s="942" t="s">
        <v>3134</v>
      </c>
      <c r="E148" s="940"/>
      <c r="F148" s="969"/>
      <c r="G148" s="940" t="s">
        <v>3135</v>
      </c>
      <c r="H148" s="969"/>
      <c r="I148" s="940"/>
    </row>
    <row r="149" spans="1:9" ht="15" customHeight="1" x14ac:dyDescent="0.25">
      <c r="A149" s="949">
        <v>2</v>
      </c>
      <c r="B149" s="976" t="s">
        <v>2043</v>
      </c>
      <c r="C149" s="957" t="s">
        <v>3520</v>
      </c>
      <c r="D149" s="959" t="s">
        <v>3136</v>
      </c>
      <c r="E149" s="940"/>
      <c r="F149" s="969"/>
      <c r="G149" s="940"/>
      <c r="H149" s="969"/>
      <c r="I149" s="940"/>
    </row>
    <row r="150" spans="1:9" ht="15" customHeight="1" x14ac:dyDescent="0.25">
      <c r="A150" s="949">
        <v>3</v>
      </c>
      <c r="B150" s="976" t="s">
        <v>2049</v>
      </c>
      <c r="C150" s="957" t="s">
        <v>3520</v>
      </c>
      <c r="D150" s="959" t="s">
        <v>3137</v>
      </c>
      <c r="E150" s="940"/>
      <c r="F150" s="969"/>
      <c r="G150" s="940"/>
      <c r="H150" s="969"/>
      <c r="I150" s="940"/>
    </row>
    <row r="151" spans="1:9" ht="15" customHeight="1" x14ac:dyDescent="0.2">
      <c r="A151" s="949">
        <v>5</v>
      </c>
      <c r="B151" s="950" t="s">
        <v>1990</v>
      </c>
      <c r="C151" s="956" t="s">
        <v>3520</v>
      </c>
      <c r="D151" s="942" t="s">
        <v>3139</v>
      </c>
      <c r="E151" s="940"/>
      <c r="F151" s="969"/>
      <c r="G151" s="940"/>
      <c r="H151" s="969"/>
      <c r="I151" s="940"/>
    </row>
    <row r="152" spans="1:9" ht="15" customHeight="1" x14ac:dyDescent="0.2">
      <c r="A152" s="949">
        <v>6</v>
      </c>
      <c r="B152" s="950" t="s">
        <v>1764</v>
      </c>
      <c r="C152" s="956" t="s">
        <v>3520</v>
      </c>
      <c r="D152" s="942" t="s">
        <v>3110</v>
      </c>
      <c r="E152" s="940"/>
      <c r="F152" s="969"/>
      <c r="G152" s="940"/>
      <c r="H152" s="969"/>
      <c r="I152" s="940"/>
    </row>
    <row r="153" spans="1:9" ht="15" customHeight="1" x14ac:dyDescent="0.25">
      <c r="A153" s="949">
        <v>7</v>
      </c>
      <c r="B153" s="976" t="s">
        <v>1337</v>
      </c>
      <c r="C153" s="957" t="s">
        <v>3520</v>
      </c>
      <c r="D153" s="942" t="s">
        <v>3140</v>
      </c>
      <c r="E153" s="940"/>
      <c r="F153" s="969"/>
      <c r="G153" s="940" t="s">
        <v>3141</v>
      </c>
      <c r="H153" s="969"/>
      <c r="I153" s="940"/>
    </row>
    <row r="154" spans="1:9" ht="15" customHeight="1" x14ac:dyDescent="0.2">
      <c r="A154" s="949">
        <v>9</v>
      </c>
      <c r="B154" s="950" t="s">
        <v>401</v>
      </c>
      <c r="C154" s="956" t="s">
        <v>3520</v>
      </c>
      <c r="D154" s="942" t="s">
        <v>3144</v>
      </c>
      <c r="E154" s="940"/>
      <c r="F154" s="969"/>
      <c r="G154" s="940"/>
      <c r="H154" s="969"/>
      <c r="I154" s="940"/>
    </row>
    <row r="155" spans="1:9" ht="15" customHeight="1" x14ac:dyDescent="0.2">
      <c r="A155" s="949">
        <v>10</v>
      </c>
      <c r="B155" s="950" t="s">
        <v>1420</v>
      </c>
      <c r="C155" s="956" t="s">
        <v>3520</v>
      </c>
      <c r="D155" s="942" t="s">
        <v>3145</v>
      </c>
      <c r="E155" s="940"/>
      <c r="F155" s="969"/>
      <c r="G155" s="940"/>
      <c r="H155" s="969"/>
      <c r="I155" s="940"/>
    </row>
    <row r="156" spans="1:9" ht="15" customHeight="1" x14ac:dyDescent="0.25">
      <c r="A156" s="949">
        <v>11</v>
      </c>
      <c r="B156" s="986" t="s">
        <v>2196</v>
      </c>
      <c r="C156" s="957" t="s">
        <v>3520</v>
      </c>
      <c r="D156" s="942" t="s">
        <v>3146</v>
      </c>
      <c r="E156" s="940"/>
      <c r="F156" s="969"/>
      <c r="G156" s="940"/>
      <c r="H156" s="969"/>
      <c r="I156" s="940"/>
    </row>
    <row r="157" spans="1:9" ht="15" customHeight="1" x14ac:dyDescent="0.2">
      <c r="A157" s="949">
        <v>12</v>
      </c>
      <c r="B157" s="956" t="s">
        <v>276</v>
      </c>
      <c r="C157" s="956" t="s">
        <v>3520</v>
      </c>
      <c r="D157" s="942" t="s">
        <v>3147</v>
      </c>
      <c r="E157" s="940"/>
      <c r="F157" s="969"/>
      <c r="G157" s="940"/>
      <c r="H157" s="969"/>
      <c r="I157" s="940"/>
    </row>
    <row r="158" spans="1:9" ht="15" customHeight="1" x14ac:dyDescent="0.2">
      <c r="A158" s="949">
        <v>13</v>
      </c>
      <c r="B158" s="950" t="s">
        <v>1555</v>
      </c>
      <c r="C158" s="956" t="s">
        <v>3520</v>
      </c>
      <c r="D158" s="942" t="s">
        <v>3148</v>
      </c>
      <c r="E158" s="940"/>
      <c r="F158" s="969"/>
      <c r="G158" s="940"/>
      <c r="H158" s="969"/>
      <c r="I158" s="940"/>
    </row>
    <row r="159" spans="1:9" ht="15" customHeight="1" x14ac:dyDescent="0.25">
      <c r="A159" s="949">
        <v>14</v>
      </c>
      <c r="B159" s="976" t="s">
        <v>1583</v>
      </c>
      <c r="C159" s="957" t="s">
        <v>3520</v>
      </c>
      <c r="D159" s="942" t="s">
        <v>3149</v>
      </c>
      <c r="E159" s="940"/>
      <c r="F159" s="969"/>
      <c r="G159" s="940"/>
      <c r="H159" s="969"/>
      <c r="I159" s="940"/>
    </row>
    <row r="160" spans="1:9" ht="15" customHeight="1" x14ac:dyDescent="0.2">
      <c r="A160" s="949">
        <v>15</v>
      </c>
      <c r="B160" s="950" t="s">
        <v>1553</v>
      </c>
      <c r="C160" s="956" t="s">
        <v>3520</v>
      </c>
      <c r="D160" s="942" t="s">
        <v>3150</v>
      </c>
      <c r="E160" s="940"/>
      <c r="F160" s="969"/>
      <c r="G160" s="940"/>
      <c r="H160" s="969"/>
      <c r="I160" s="940"/>
    </row>
    <row r="161" spans="1:9" ht="15" customHeight="1" x14ac:dyDescent="0.2">
      <c r="A161" s="949">
        <v>16</v>
      </c>
      <c r="B161" s="950" t="s">
        <v>1557</v>
      </c>
      <c r="C161" s="956" t="s">
        <v>3520</v>
      </c>
      <c r="D161" s="942" t="s">
        <v>3151</v>
      </c>
      <c r="E161" s="940"/>
      <c r="F161" s="969"/>
      <c r="G161" s="940"/>
      <c r="H161" s="969"/>
      <c r="I161" s="940"/>
    </row>
    <row r="162" spans="1:9" ht="15" customHeight="1" x14ac:dyDescent="0.25">
      <c r="A162" s="949">
        <v>17</v>
      </c>
      <c r="B162" s="976" t="s">
        <v>1106</v>
      </c>
      <c r="C162" s="957" t="s">
        <v>3520</v>
      </c>
      <c r="D162" s="942" t="s">
        <v>3152</v>
      </c>
      <c r="E162" s="940"/>
      <c r="F162" s="969"/>
      <c r="G162" s="940"/>
      <c r="H162" s="969"/>
      <c r="I162" s="940"/>
    </row>
    <row r="163" spans="1:9" ht="15" customHeight="1" x14ac:dyDescent="0.2">
      <c r="A163" s="949">
        <v>18</v>
      </c>
      <c r="B163" s="950" t="s">
        <v>1987</v>
      </c>
      <c r="C163" s="956" t="s">
        <v>3520</v>
      </c>
      <c r="D163" s="942" t="s">
        <v>3153</v>
      </c>
      <c r="E163" s="940"/>
      <c r="F163" s="969"/>
      <c r="G163" s="940"/>
      <c r="H163" s="969"/>
      <c r="I163" s="940"/>
    </row>
    <row r="164" spans="1:9" ht="15" customHeight="1" x14ac:dyDescent="0.2">
      <c r="A164" s="949">
        <v>19</v>
      </c>
      <c r="B164" s="950" t="s">
        <v>1967</v>
      </c>
      <c r="C164" s="956" t="s">
        <v>3520</v>
      </c>
      <c r="D164" s="942" t="s">
        <v>3154</v>
      </c>
      <c r="E164" s="940"/>
      <c r="F164" s="969"/>
      <c r="G164" s="940"/>
      <c r="H164" s="969"/>
      <c r="I164" s="940"/>
    </row>
    <row r="165" spans="1:9" ht="15" customHeight="1" x14ac:dyDescent="0.2">
      <c r="A165" s="949">
        <v>21</v>
      </c>
      <c r="B165" s="950" t="s">
        <v>1957</v>
      </c>
      <c r="C165" s="956" t="s">
        <v>3520</v>
      </c>
      <c r="D165" s="942" t="s">
        <v>3155</v>
      </c>
      <c r="E165" s="940"/>
      <c r="F165" s="969"/>
      <c r="G165" s="940" t="s">
        <v>3156</v>
      </c>
      <c r="H165" s="969"/>
      <c r="I165" s="940"/>
    </row>
    <row r="166" spans="1:9" ht="15" customHeight="1" x14ac:dyDescent="0.2">
      <c r="A166" s="949">
        <v>22</v>
      </c>
      <c r="B166" s="950" t="s">
        <v>2033</v>
      </c>
      <c r="C166" s="956" t="s">
        <v>3520</v>
      </c>
      <c r="D166" s="942" t="s">
        <v>3157</v>
      </c>
      <c r="E166" s="940"/>
      <c r="F166" s="969"/>
      <c r="G166" s="940"/>
      <c r="H166" s="969"/>
      <c r="I166" s="940"/>
    </row>
    <row r="167" spans="1:9" ht="15" customHeight="1" x14ac:dyDescent="0.25">
      <c r="A167" s="949">
        <v>23</v>
      </c>
      <c r="B167" s="976" t="s">
        <v>1560</v>
      </c>
      <c r="C167" s="957" t="s">
        <v>3520</v>
      </c>
      <c r="D167" s="942" t="s">
        <v>3158</v>
      </c>
      <c r="E167" s="940"/>
      <c r="F167" s="969"/>
      <c r="G167" s="940"/>
      <c r="H167" s="969"/>
      <c r="I167" s="940"/>
    </row>
    <row r="168" spans="1:9" ht="15" customHeight="1" x14ac:dyDescent="0.25">
      <c r="A168" s="949">
        <v>24</v>
      </c>
      <c r="B168" s="976" t="s">
        <v>1587</v>
      </c>
      <c r="C168" s="957" t="s">
        <v>3520</v>
      </c>
      <c r="D168" s="942" t="s">
        <v>3159</v>
      </c>
      <c r="E168" s="940"/>
      <c r="F168" s="969"/>
      <c r="G168" s="940"/>
      <c r="H168" s="969"/>
      <c r="I168" s="940"/>
    </row>
    <row r="169" spans="1:9" ht="15" customHeight="1" x14ac:dyDescent="0.2">
      <c r="A169" s="961">
        <v>26</v>
      </c>
      <c r="B169" s="950" t="s">
        <v>1545</v>
      </c>
      <c r="C169" s="956" t="s">
        <v>3520</v>
      </c>
      <c r="D169" s="942" t="s">
        <v>3161</v>
      </c>
      <c r="E169" s="940"/>
      <c r="F169" s="969"/>
      <c r="G169" s="940"/>
      <c r="H169" s="969"/>
      <c r="I169" s="940"/>
    </row>
    <row r="170" spans="1:9" ht="32.25" customHeight="1" x14ac:dyDescent="0.25">
      <c r="A170" s="949">
        <v>27</v>
      </c>
      <c r="B170" s="976" t="s">
        <v>2350</v>
      </c>
      <c r="C170" s="957" t="s">
        <v>3520</v>
      </c>
      <c r="D170" s="942" t="s">
        <v>3162</v>
      </c>
      <c r="E170" s="940"/>
      <c r="F170" s="969"/>
      <c r="G170" s="940"/>
      <c r="H170" s="969"/>
      <c r="I170" s="940"/>
    </row>
    <row r="171" spans="1:9" ht="15" customHeight="1" x14ac:dyDescent="0.2">
      <c r="A171" s="949">
        <v>28</v>
      </c>
      <c r="B171" s="950" t="s">
        <v>2228</v>
      </c>
      <c r="C171" s="956" t="s">
        <v>3520</v>
      </c>
      <c r="D171" s="942" t="s">
        <v>3163</v>
      </c>
      <c r="E171" s="940"/>
      <c r="F171" s="969"/>
      <c r="G171" s="940"/>
      <c r="H171" s="969"/>
      <c r="I171" s="940"/>
    </row>
    <row r="172" spans="1:9" ht="15" customHeight="1" x14ac:dyDescent="0.25">
      <c r="A172" s="949">
        <v>29</v>
      </c>
      <c r="B172" s="976" t="s">
        <v>1628</v>
      </c>
      <c r="C172" s="957" t="s">
        <v>3520</v>
      </c>
      <c r="D172" s="942" t="s">
        <v>3164</v>
      </c>
      <c r="E172" s="940"/>
      <c r="F172" s="969"/>
      <c r="G172" s="940"/>
      <c r="H172" s="969"/>
      <c r="I172" s="940"/>
    </row>
    <row r="173" spans="1:9" ht="15" customHeight="1" x14ac:dyDescent="0.2">
      <c r="A173" s="949">
        <v>30</v>
      </c>
      <c r="B173" s="950" t="s">
        <v>1862</v>
      </c>
      <c r="C173" s="956" t="s">
        <v>3520</v>
      </c>
      <c r="D173" s="942" t="s">
        <v>3140</v>
      </c>
      <c r="E173" s="940"/>
      <c r="F173" s="969"/>
      <c r="G173" s="940"/>
      <c r="H173" s="969"/>
      <c r="I173" s="940"/>
    </row>
    <row r="174" spans="1:9" ht="15" customHeight="1" x14ac:dyDescent="0.25">
      <c r="A174" s="949">
        <v>31</v>
      </c>
      <c r="B174" s="979" t="s">
        <v>83</v>
      </c>
      <c r="C174" s="957" t="s">
        <v>3520</v>
      </c>
      <c r="D174" s="942" t="s">
        <v>3165</v>
      </c>
      <c r="E174" s="940"/>
      <c r="F174" s="969"/>
      <c r="G174" s="940"/>
      <c r="H174" s="969"/>
      <c r="I174" s="940"/>
    </row>
    <row r="175" spans="1:9" ht="15" customHeight="1" x14ac:dyDescent="0.25">
      <c r="A175" s="949">
        <v>32</v>
      </c>
      <c r="B175" s="976" t="s">
        <v>1561</v>
      </c>
      <c r="C175" s="957" t="s">
        <v>3520</v>
      </c>
      <c r="D175" s="942" t="s">
        <v>3166</v>
      </c>
      <c r="E175" s="940"/>
      <c r="F175" s="969"/>
      <c r="G175" s="940"/>
      <c r="H175" s="969"/>
      <c r="I175" s="940"/>
    </row>
    <row r="176" spans="1:9" ht="15" customHeight="1" x14ac:dyDescent="0.25">
      <c r="A176" s="949">
        <v>37</v>
      </c>
      <c r="B176" s="976" t="s">
        <v>2272</v>
      </c>
      <c r="C176" s="957" t="s">
        <v>3520</v>
      </c>
      <c r="D176" s="942" t="s">
        <v>3171</v>
      </c>
      <c r="E176" s="940"/>
      <c r="F176" s="969"/>
      <c r="G176" s="940"/>
      <c r="H176" s="969"/>
      <c r="I176" s="940" t="s">
        <v>3548</v>
      </c>
    </row>
    <row r="177" spans="1:9" ht="15" customHeight="1" x14ac:dyDescent="0.2">
      <c r="A177" s="949">
        <v>38</v>
      </c>
      <c r="B177" s="958" t="s">
        <v>1352</v>
      </c>
      <c r="C177" s="957" t="s">
        <v>3520</v>
      </c>
      <c r="D177" s="942" t="s">
        <v>3172</v>
      </c>
      <c r="E177" s="940"/>
      <c r="F177" s="969"/>
      <c r="G177" s="940"/>
      <c r="H177" s="969"/>
      <c r="I177" s="940"/>
    </row>
    <row r="178" spans="1:9" ht="15" customHeight="1" x14ac:dyDescent="0.25">
      <c r="A178" s="949">
        <v>39</v>
      </c>
      <c r="B178" s="976" t="s">
        <v>300</v>
      </c>
      <c r="C178" s="957" t="s">
        <v>3520</v>
      </c>
      <c r="D178" s="942" t="s">
        <v>3173</v>
      </c>
      <c r="E178" s="940"/>
      <c r="F178" s="969"/>
      <c r="G178" s="940"/>
      <c r="H178" s="969"/>
      <c r="I178" s="940"/>
    </row>
    <row r="179" spans="1:9" ht="15" customHeight="1" x14ac:dyDescent="0.2">
      <c r="A179" s="949">
        <v>40</v>
      </c>
      <c r="B179" s="950" t="s">
        <v>1639</v>
      </c>
      <c r="C179" s="956" t="s">
        <v>3520</v>
      </c>
      <c r="D179" s="942" t="s">
        <v>3174</v>
      </c>
      <c r="E179" s="940"/>
      <c r="F179" s="969"/>
      <c r="G179" s="940" t="s">
        <v>3175</v>
      </c>
      <c r="H179" s="969"/>
      <c r="I179" s="940"/>
    </row>
    <row r="180" spans="1:9" ht="15" customHeight="1" x14ac:dyDescent="0.25">
      <c r="A180" s="949">
        <v>42</v>
      </c>
      <c r="B180" s="976" t="s">
        <v>1111</v>
      </c>
      <c r="C180" s="957" t="s">
        <v>3520</v>
      </c>
      <c r="D180" s="942" t="s">
        <v>3177</v>
      </c>
      <c r="E180" s="940"/>
      <c r="F180" s="969"/>
      <c r="G180" s="940"/>
      <c r="H180" s="969"/>
      <c r="I180" s="940"/>
    </row>
    <row r="181" spans="1:9" ht="15" customHeight="1" x14ac:dyDescent="0.2">
      <c r="A181" s="949">
        <v>43</v>
      </c>
      <c r="B181" s="958" t="s">
        <v>1526</v>
      </c>
      <c r="C181" s="957" t="s">
        <v>3520</v>
      </c>
      <c r="D181" s="962" t="s">
        <v>3178</v>
      </c>
      <c r="E181" s="940"/>
      <c r="F181" s="969"/>
      <c r="G181" s="940"/>
      <c r="H181" s="969"/>
      <c r="I181" s="940"/>
    </row>
    <row r="182" spans="1:9" ht="15" customHeight="1" x14ac:dyDescent="0.2">
      <c r="A182" s="949">
        <v>44</v>
      </c>
      <c r="B182" s="950" t="s">
        <v>1751</v>
      </c>
      <c r="C182" s="956" t="s">
        <v>3520</v>
      </c>
      <c r="D182" s="942" t="s">
        <v>3179</v>
      </c>
      <c r="E182" s="940"/>
      <c r="F182" s="969"/>
      <c r="G182" s="940"/>
      <c r="H182" s="969"/>
      <c r="I182" s="940"/>
    </row>
    <row r="183" spans="1:9" ht="15" customHeight="1" x14ac:dyDescent="0.25">
      <c r="A183" s="949">
        <v>45</v>
      </c>
      <c r="B183" s="976" t="s">
        <v>291</v>
      </c>
      <c r="C183" s="957" t="s">
        <v>3520</v>
      </c>
      <c r="D183" s="942" t="s">
        <v>3174</v>
      </c>
      <c r="E183" s="940"/>
      <c r="F183" s="969"/>
      <c r="G183" s="940"/>
      <c r="H183" s="969"/>
      <c r="I183" s="940"/>
    </row>
    <row r="184" spans="1:9" ht="15" customHeight="1" x14ac:dyDescent="0.25">
      <c r="A184" s="949">
        <v>46</v>
      </c>
      <c r="B184" s="976" t="s">
        <v>1161</v>
      </c>
      <c r="C184" s="957" t="s">
        <v>3520</v>
      </c>
      <c r="D184" s="942" t="s">
        <v>3180</v>
      </c>
      <c r="E184" s="940"/>
      <c r="F184" s="969"/>
      <c r="G184" s="940"/>
      <c r="H184" s="969"/>
      <c r="I184" s="940"/>
    </row>
    <row r="185" spans="1:9" ht="15" customHeight="1" x14ac:dyDescent="0.2">
      <c r="A185" s="949">
        <v>47</v>
      </c>
      <c r="B185" s="950" t="s">
        <v>2046</v>
      </c>
      <c r="C185" s="956" t="s">
        <v>3520</v>
      </c>
      <c r="D185" s="942" t="s">
        <v>3181</v>
      </c>
      <c r="E185" s="940"/>
      <c r="F185" s="969"/>
      <c r="G185" s="940"/>
      <c r="H185" s="969"/>
      <c r="I185" s="940"/>
    </row>
    <row r="186" spans="1:9" ht="15" customHeight="1" x14ac:dyDescent="0.25">
      <c r="A186" s="949">
        <v>48</v>
      </c>
      <c r="B186" s="976" t="s">
        <v>1117</v>
      </c>
      <c r="C186" s="957" t="s">
        <v>3520</v>
      </c>
      <c r="D186" s="942" t="s">
        <v>3182</v>
      </c>
      <c r="E186" s="940"/>
      <c r="F186" s="969"/>
      <c r="G186" s="940"/>
      <c r="H186" s="969"/>
      <c r="I186" s="940"/>
    </row>
    <row r="187" spans="1:9" ht="15" customHeight="1" x14ac:dyDescent="0.25">
      <c r="A187" s="949">
        <v>52</v>
      </c>
      <c r="B187" s="976" t="s">
        <v>1530</v>
      </c>
      <c r="C187" s="957" t="s">
        <v>3520</v>
      </c>
      <c r="D187" s="942" t="s">
        <v>3187</v>
      </c>
      <c r="E187" s="940"/>
      <c r="F187" s="969"/>
      <c r="G187" s="940"/>
      <c r="H187" s="969"/>
      <c r="I187" s="940"/>
    </row>
    <row r="188" spans="1:9" ht="15" customHeight="1" x14ac:dyDescent="0.2">
      <c r="A188" s="949">
        <v>53</v>
      </c>
      <c r="B188" s="950" t="s">
        <v>1517</v>
      </c>
      <c r="C188" s="956" t="s">
        <v>3520</v>
      </c>
      <c r="D188" s="942" t="s">
        <v>3188</v>
      </c>
      <c r="E188" s="940"/>
      <c r="F188" s="969"/>
      <c r="G188" s="940"/>
      <c r="H188" s="969"/>
      <c r="I188" s="940"/>
    </row>
    <row r="189" spans="1:9" ht="15" customHeight="1" x14ac:dyDescent="0.25">
      <c r="A189" s="949">
        <v>54</v>
      </c>
      <c r="B189" s="976" t="s">
        <v>1156</v>
      </c>
      <c r="C189" s="957" t="s">
        <v>3520</v>
      </c>
      <c r="D189" s="942" t="s">
        <v>3189</v>
      </c>
      <c r="E189" s="940"/>
      <c r="F189" s="969"/>
      <c r="G189" s="940"/>
      <c r="H189" s="969"/>
      <c r="I189" s="940"/>
    </row>
    <row r="190" spans="1:9" ht="15" customHeight="1" x14ac:dyDescent="0.25">
      <c r="A190" s="949">
        <v>55</v>
      </c>
      <c r="B190" s="976" t="s">
        <v>1597</v>
      </c>
      <c r="C190" s="957" t="s">
        <v>3520</v>
      </c>
      <c r="D190" s="942" t="s">
        <v>3160</v>
      </c>
      <c r="E190" s="940"/>
      <c r="F190" s="969"/>
      <c r="G190" s="940"/>
      <c r="H190" s="969"/>
      <c r="I190" s="940"/>
    </row>
    <row r="191" spans="1:9" ht="15" customHeight="1" x14ac:dyDescent="0.25">
      <c r="A191" s="949">
        <v>56</v>
      </c>
      <c r="B191" s="976" t="s">
        <v>175</v>
      </c>
      <c r="C191" s="957" t="s">
        <v>3520</v>
      </c>
      <c r="D191" s="942" t="s">
        <v>3190</v>
      </c>
      <c r="E191" s="940"/>
      <c r="F191" s="969"/>
      <c r="G191" s="940"/>
      <c r="H191" s="969"/>
      <c r="I191" s="940"/>
    </row>
    <row r="192" spans="1:9" ht="15" customHeight="1" x14ac:dyDescent="0.25">
      <c r="A192" s="949">
        <v>58</v>
      </c>
      <c r="B192" s="976" t="s">
        <v>553</v>
      </c>
      <c r="C192" s="957" t="s">
        <v>3520</v>
      </c>
      <c r="D192" s="942" t="s">
        <v>3191</v>
      </c>
      <c r="E192" s="940"/>
      <c r="F192" s="969"/>
      <c r="G192" s="940"/>
      <c r="H192" s="969"/>
      <c r="I192" s="940"/>
    </row>
    <row r="193" spans="1:9" ht="15" customHeight="1" x14ac:dyDescent="0.2">
      <c r="A193" s="949">
        <v>59</v>
      </c>
      <c r="B193" s="958" t="s">
        <v>1498</v>
      </c>
      <c r="C193" s="957" t="s">
        <v>3520</v>
      </c>
      <c r="D193" s="942" t="s">
        <v>3192</v>
      </c>
      <c r="E193" s="940"/>
      <c r="F193" s="969"/>
      <c r="G193" s="940"/>
      <c r="H193" s="969"/>
      <c r="I193" s="940"/>
    </row>
    <row r="194" spans="1:9" ht="15" customHeight="1" x14ac:dyDescent="0.2">
      <c r="A194" s="949">
        <v>60</v>
      </c>
      <c r="B194" s="950" t="s">
        <v>292</v>
      </c>
      <c r="C194" s="956" t="s">
        <v>3520</v>
      </c>
      <c r="D194" s="942" t="s">
        <v>3193</v>
      </c>
      <c r="E194" s="940"/>
      <c r="F194" s="969"/>
      <c r="G194" s="940"/>
      <c r="H194" s="969"/>
      <c r="I194" s="940"/>
    </row>
    <row r="195" spans="1:9" ht="15" customHeight="1" x14ac:dyDescent="0.2">
      <c r="A195" s="949">
        <v>61</v>
      </c>
      <c r="B195" s="950" t="s">
        <v>1360</v>
      </c>
      <c r="C195" s="956" t="s">
        <v>3520</v>
      </c>
      <c r="D195" s="963" t="s">
        <v>3178</v>
      </c>
      <c r="E195" s="940"/>
      <c r="F195" s="969"/>
      <c r="G195" s="940"/>
      <c r="H195" s="969"/>
      <c r="I195" s="940"/>
    </row>
    <row r="196" spans="1:9" ht="15" customHeight="1" x14ac:dyDescent="0.2">
      <c r="A196" s="949">
        <v>62</v>
      </c>
      <c r="B196" s="950" t="s">
        <v>3194</v>
      </c>
      <c r="C196" s="956" t="s">
        <v>3520</v>
      </c>
      <c r="D196" s="942" t="s">
        <v>3195</v>
      </c>
      <c r="E196" s="940"/>
      <c r="F196" s="969"/>
      <c r="G196" s="940"/>
      <c r="H196" s="969"/>
      <c r="I196" s="940"/>
    </row>
    <row r="197" spans="1:9" ht="22.5" customHeight="1" x14ac:dyDescent="0.2">
      <c r="A197" s="949">
        <v>63</v>
      </c>
      <c r="B197" s="958" t="s">
        <v>1163</v>
      </c>
      <c r="C197" s="957" t="s">
        <v>3520</v>
      </c>
      <c r="D197" s="942" t="s">
        <v>3196</v>
      </c>
      <c r="E197" s="940"/>
      <c r="F197" s="969"/>
      <c r="G197" s="940"/>
      <c r="H197" s="969"/>
      <c r="I197" s="940"/>
    </row>
    <row r="198" spans="1:9" ht="30" customHeight="1" x14ac:dyDescent="0.25">
      <c r="A198" s="949">
        <v>64</v>
      </c>
      <c r="B198" s="976" t="s">
        <v>2471</v>
      </c>
      <c r="C198" s="957" t="s">
        <v>3520</v>
      </c>
      <c r="D198" s="942" t="s">
        <v>3110</v>
      </c>
      <c r="E198" s="940"/>
      <c r="F198" s="969"/>
      <c r="G198" s="940"/>
      <c r="H198" s="969"/>
      <c r="I198" s="940"/>
    </row>
    <row r="199" spans="1:9" ht="30" customHeight="1" x14ac:dyDescent="0.2">
      <c r="A199" s="949">
        <v>65</v>
      </c>
      <c r="B199" s="950" t="s">
        <v>2381</v>
      </c>
      <c r="C199" s="956" t="s">
        <v>3520</v>
      </c>
      <c r="D199" s="942" t="s">
        <v>3172</v>
      </c>
      <c r="E199" s="940"/>
      <c r="F199" s="969"/>
      <c r="G199" s="940"/>
      <c r="H199" s="969" t="s">
        <v>3550</v>
      </c>
      <c r="I199" s="940" t="s">
        <v>3548</v>
      </c>
    </row>
    <row r="200" spans="1:9" ht="30" customHeight="1" x14ac:dyDescent="0.2">
      <c r="A200" s="949">
        <v>66</v>
      </c>
      <c r="B200" s="950" t="s">
        <v>1883</v>
      </c>
      <c r="C200" s="956" t="s">
        <v>3520</v>
      </c>
      <c r="D200" s="942" t="s">
        <v>3198</v>
      </c>
      <c r="E200" s="940"/>
      <c r="F200" s="969"/>
      <c r="G200" s="940"/>
      <c r="H200" s="969"/>
      <c r="I200" s="940"/>
    </row>
    <row r="201" spans="1:9" ht="30" customHeight="1" x14ac:dyDescent="0.2">
      <c r="A201" s="949">
        <v>68</v>
      </c>
      <c r="B201" s="950" t="s">
        <v>1357</v>
      </c>
      <c r="C201" s="956" t="s">
        <v>3520</v>
      </c>
      <c r="D201" s="942" t="s">
        <v>3200</v>
      </c>
      <c r="E201" s="940"/>
      <c r="F201" s="969"/>
      <c r="G201" s="940"/>
      <c r="H201" s="969"/>
      <c r="I201" s="940"/>
    </row>
    <row r="202" spans="1:9" ht="30" customHeight="1" x14ac:dyDescent="0.2">
      <c r="A202" s="949">
        <v>69</v>
      </c>
      <c r="B202" s="950" t="s">
        <v>2041</v>
      </c>
      <c r="C202" s="956" t="s">
        <v>3520</v>
      </c>
      <c r="D202" s="942" t="s">
        <v>3201</v>
      </c>
      <c r="E202" s="940"/>
      <c r="F202" s="969"/>
      <c r="G202" s="940"/>
      <c r="H202" s="969"/>
      <c r="I202" s="940"/>
    </row>
    <row r="203" spans="1:9" ht="30" customHeight="1" x14ac:dyDescent="0.25">
      <c r="A203" s="949">
        <v>75</v>
      </c>
      <c r="B203" s="976" t="s">
        <v>1623</v>
      </c>
      <c r="C203" s="957" t="s">
        <v>3520</v>
      </c>
      <c r="D203" s="942" t="s">
        <v>3206</v>
      </c>
      <c r="E203" s="940"/>
      <c r="F203" s="969"/>
      <c r="G203" s="940"/>
      <c r="H203" s="969" t="s">
        <v>3551</v>
      </c>
      <c r="I203" s="940" t="s">
        <v>3549</v>
      </c>
    </row>
    <row r="204" spans="1:9" ht="30" customHeight="1" x14ac:dyDescent="0.25">
      <c r="A204" s="949">
        <v>76</v>
      </c>
      <c r="B204" s="976" t="s">
        <v>1618</v>
      </c>
      <c r="C204" s="957" t="s">
        <v>3520</v>
      </c>
      <c r="D204" s="942" t="s">
        <v>3207</v>
      </c>
      <c r="E204" s="940"/>
      <c r="F204" s="969"/>
      <c r="G204" s="940"/>
      <c r="H204" s="969"/>
      <c r="I204" s="940"/>
    </row>
    <row r="205" spans="1:9" ht="30" customHeight="1" x14ac:dyDescent="0.25">
      <c r="A205" s="949">
        <v>77</v>
      </c>
      <c r="B205" s="976" t="s">
        <v>2010</v>
      </c>
      <c r="C205" s="957" t="s">
        <v>3520</v>
      </c>
      <c r="D205" s="942" t="s">
        <v>3131</v>
      </c>
      <c r="E205" s="940"/>
      <c r="F205" s="969"/>
      <c r="G205" s="940"/>
      <c r="H205" s="969"/>
      <c r="I205" s="940"/>
    </row>
    <row r="206" spans="1:9" ht="30" customHeight="1" x14ac:dyDescent="0.2">
      <c r="A206" s="949">
        <v>79</v>
      </c>
      <c r="B206" s="950" t="s">
        <v>1611</v>
      </c>
      <c r="C206" s="956" t="s">
        <v>3520</v>
      </c>
      <c r="D206" s="942" t="s">
        <v>3210</v>
      </c>
      <c r="E206" s="940"/>
      <c r="F206" s="969"/>
      <c r="G206" s="940"/>
      <c r="H206" s="969"/>
      <c r="I206" s="940"/>
    </row>
    <row r="207" spans="1:9" ht="30" customHeight="1" x14ac:dyDescent="0.25">
      <c r="A207" s="949">
        <v>81</v>
      </c>
      <c r="B207" s="976" t="s">
        <v>1355</v>
      </c>
      <c r="C207" s="957" t="s">
        <v>3520</v>
      </c>
      <c r="D207" s="942" t="s">
        <v>3212</v>
      </c>
      <c r="E207" s="940"/>
      <c r="F207" s="969"/>
      <c r="G207" s="940"/>
      <c r="H207" s="969"/>
      <c r="I207" s="940"/>
    </row>
    <row r="208" spans="1:9" ht="30" customHeight="1" x14ac:dyDescent="0.2">
      <c r="A208" s="949">
        <v>83</v>
      </c>
      <c r="B208" s="956" t="s">
        <v>206</v>
      </c>
      <c r="C208" s="956" t="s">
        <v>3520</v>
      </c>
      <c r="D208" s="942" t="s">
        <v>3119</v>
      </c>
      <c r="E208" s="940"/>
      <c r="F208" s="969"/>
      <c r="G208" s="940"/>
      <c r="H208" s="969"/>
      <c r="I208" s="940"/>
    </row>
    <row r="209" spans="1:9" ht="30" customHeight="1" x14ac:dyDescent="0.2">
      <c r="A209" s="949">
        <v>84</v>
      </c>
      <c r="B209" s="956" t="s">
        <v>171</v>
      </c>
      <c r="C209" s="956" t="s">
        <v>3520</v>
      </c>
      <c r="D209" s="942" t="s">
        <v>3214</v>
      </c>
      <c r="E209" s="940"/>
      <c r="F209" s="969"/>
      <c r="G209" s="940"/>
      <c r="H209" s="969"/>
      <c r="I209" s="940"/>
    </row>
    <row r="210" spans="1:9" ht="30" customHeight="1" x14ac:dyDescent="0.2">
      <c r="A210" s="949">
        <v>92</v>
      </c>
      <c r="B210" s="950" t="s">
        <v>2070</v>
      </c>
      <c r="C210" s="956" t="s">
        <v>3520</v>
      </c>
      <c r="D210" s="942" t="s">
        <v>3228</v>
      </c>
      <c r="E210" s="940"/>
      <c r="F210" s="969"/>
      <c r="G210" s="940"/>
      <c r="H210" s="969"/>
      <c r="I210" s="940"/>
    </row>
    <row r="211" spans="1:9" ht="30" customHeight="1" x14ac:dyDescent="0.2">
      <c r="A211" s="949">
        <v>97</v>
      </c>
      <c r="B211" s="956" t="s">
        <v>3236</v>
      </c>
      <c r="C211" s="956" t="s">
        <v>3520</v>
      </c>
      <c r="D211" s="942" t="s">
        <v>3237</v>
      </c>
      <c r="E211" s="940"/>
      <c r="F211" s="969"/>
      <c r="G211" s="940"/>
      <c r="H211" s="969"/>
      <c r="I211" s="940"/>
    </row>
    <row r="212" spans="1:9" ht="30" customHeight="1" x14ac:dyDescent="0.25">
      <c r="A212" s="949">
        <v>101</v>
      </c>
      <c r="B212" s="976" t="s">
        <v>96</v>
      </c>
      <c r="C212" s="957" t="s">
        <v>3520</v>
      </c>
      <c r="D212" s="942" t="s">
        <v>3235</v>
      </c>
      <c r="E212" s="940"/>
      <c r="F212" s="969"/>
      <c r="G212" s="940"/>
      <c r="H212" s="969"/>
      <c r="I212" s="940"/>
    </row>
    <row r="213" spans="1:9" ht="30" customHeight="1" x14ac:dyDescent="0.2">
      <c r="A213" s="949">
        <v>102</v>
      </c>
      <c r="B213" s="956" t="s">
        <v>211</v>
      </c>
      <c r="C213" s="956" t="s">
        <v>3520</v>
      </c>
      <c r="D213" s="942" t="s">
        <v>3245</v>
      </c>
      <c r="E213" s="940"/>
      <c r="F213" s="969"/>
      <c r="G213" s="940"/>
      <c r="H213" s="969"/>
      <c r="I213" s="940"/>
    </row>
    <row r="214" spans="1:9" ht="30" customHeight="1" x14ac:dyDescent="0.2">
      <c r="A214" s="949">
        <v>103</v>
      </c>
      <c r="B214" s="956" t="s">
        <v>3246</v>
      </c>
      <c r="C214" s="956" t="s">
        <v>3520</v>
      </c>
      <c r="D214" s="942" t="s">
        <v>3244</v>
      </c>
      <c r="E214" s="940"/>
      <c r="F214" s="969"/>
      <c r="G214" s="940"/>
      <c r="H214" s="969"/>
      <c r="I214" s="940"/>
    </row>
    <row r="215" spans="1:9" ht="30" customHeight="1" x14ac:dyDescent="0.2">
      <c r="A215" s="949">
        <v>104</v>
      </c>
      <c r="B215" s="956" t="s">
        <v>3247</v>
      </c>
      <c r="C215" s="956" t="s">
        <v>3520</v>
      </c>
      <c r="D215" s="942" t="s">
        <v>3248</v>
      </c>
      <c r="E215" s="940"/>
      <c r="F215" s="969"/>
      <c r="G215" s="940"/>
      <c r="H215" s="969"/>
      <c r="I215" s="940"/>
    </row>
    <row r="216" spans="1:9" ht="30" customHeight="1" x14ac:dyDescent="0.2">
      <c r="A216" s="949">
        <v>105</v>
      </c>
      <c r="B216" s="950" t="s">
        <v>1642</v>
      </c>
      <c r="C216" s="956" t="s">
        <v>3520</v>
      </c>
      <c r="D216" s="942" t="s">
        <v>3249</v>
      </c>
      <c r="E216" s="940"/>
      <c r="F216" s="969"/>
      <c r="G216" s="940"/>
      <c r="H216" s="969"/>
      <c r="I216" s="940"/>
    </row>
    <row r="217" spans="1:9" ht="30" customHeight="1" x14ac:dyDescent="0.2">
      <c r="A217" s="949">
        <v>106</v>
      </c>
      <c r="B217" s="956" t="s">
        <v>3250</v>
      </c>
      <c r="C217" s="956" t="s">
        <v>3520</v>
      </c>
      <c r="D217" s="942" t="s">
        <v>3170</v>
      </c>
      <c r="E217" s="940"/>
      <c r="F217" s="969"/>
      <c r="G217" s="940"/>
      <c r="H217" s="969"/>
      <c r="I217" s="940"/>
    </row>
    <row r="218" spans="1:9" ht="30" customHeight="1" x14ac:dyDescent="0.2">
      <c r="A218" s="949">
        <v>112</v>
      </c>
      <c r="B218" s="950" t="s">
        <v>2191</v>
      </c>
      <c r="C218" s="956" t="s">
        <v>3520</v>
      </c>
      <c r="D218" s="942" t="s">
        <v>3105</v>
      </c>
      <c r="E218" s="940"/>
      <c r="F218" s="969"/>
      <c r="G218" s="940"/>
      <c r="H218" s="969"/>
      <c r="I218" s="940"/>
    </row>
    <row r="219" spans="1:9" ht="30" customHeight="1" x14ac:dyDescent="0.25">
      <c r="A219" s="949">
        <v>115</v>
      </c>
      <c r="B219" s="976" t="s">
        <v>1539</v>
      </c>
      <c r="C219" s="957" t="s">
        <v>3520</v>
      </c>
      <c r="D219" s="942" t="s">
        <v>3263</v>
      </c>
      <c r="E219" s="940"/>
      <c r="F219" s="969"/>
      <c r="G219" s="940"/>
      <c r="H219" s="969"/>
      <c r="I219" s="940"/>
    </row>
    <row r="220" spans="1:9" ht="30" customHeight="1" x14ac:dyDescent="0.25">
      <c r="A220" s="949">
        <v>118</v>
      </c>
      <c r="B220" s="976" t="s">
        <v>1579</v>
      </c>
      <c r="C220" s="957" t="s">
        <v>3520</v>
      </c>
      <c r="D220" s="942" t="s">
        <v>3267</v>
      </c>
      <c r="E220" s="940"/>
      <c r="F220" s="969"/>
      <c r="G220" s="940"/>
      <c r="H220" s="969"/>
      <c r="I220" s="940"/>
    </row>
    <row r="221" spans="1:9" ht="30" customHeight="1" x14ac:dyDescent="0.2">
      <c r="A221" s="949">
        <v>119</v>
      </c>
      <c r="B221" s="950" t="s">
        <v>2219</v>
      </c>
      <c r="C221" s="956" t="s">
        <v>3520</v>
      </c>
      <c r="D221" s="942" t="s">
        <v>3268</v>
      </c>
      <c r="E221" s="940"/>
      <c r="F221" s="969"/>
      <c r="G221" s="940"/>
      <c r="H221" s="969"/>
      <c r="I221" s="940"/>
    </row>
    <row r="222" spans="1:9" ht="30" customHeight="1" x14ac:dyDescent="0.2">
      <c r="A222" s="949">
        <v>120</v>
      </c>
      <c r="B222" s="956" t="s">
        <v>546</v>
      </c>
      <c r="C222" s="956" t="s">
        <v>3520</v>
      </c>
      <c r="D222" s="942" t="s">
        <v>3269</v>
      </c>
      <c r="E222" s="940"/>
      <c r="F222" s="969"/>
      <c r="G222" s="940"/>
      <c r="H222" s="969"/>
      <c r="I222" s="940"/>
    </row>
    <row r="223" spans="1:9" ht="30" customHeight="1" x14ac:dyDescent="0.25">
      <c r="A223" s="949">
        <v>122</v>
      </c>
      <c r="B223" s="976" t="s">
        <v>274</v>
      </c>
      <c r="C223" s="957" t="s">
        <v>3520</v>
      </c>
      <c r="D223" s="942" t="s">
        <v>3272</v>
      </c>
      <c r="E223" s="940"/>
      <c r="F223" s="969"/>
      <c r="G223" s="940"/>
      <c r="H223" s="969"/>
      <c r="I223" s="940"/>
    </row>
    <row r="224" spans="1:9" ht="30" customHeight="1" x14ac:dyDescent="0.2">
      <c r="A224" s="949">
        <v>126</v>
      </c>
      <c r="B224" s="950" t="s">
        <v>1746</v>
      </c>
      <c r="C224" s="956" t="s">
        <v>3520</v>
      </c>
      <c r="D224" s="942" t="s">
        <v>3279</v>
      </c>
      <c r="E224" s="940"/>
      <c r="F224" s="969"/>
      <c r="G224" s="940"/>
      <c r="H224" s="969"/>
      <c r="I224" s="940"/>
    </row>
    <row r="225" spans="1:9" ht="30" customHeight="1" x14ac:dyDescent="0.2">
      <c r="A225" s="949">
        <v>127</v>
      </c>
      <c r="B225" s="950" t="s">
        <v>2002</v>
      </c>
      <c r="C225" s="956" t="s">
        <v>3520</v>
      </c>
      <c r="D225" s="942" t="s">
        <v>3116</v>
      </c>
      <c r="E225" s="940"/>
      <c r="F225" s="969"/>
      <c r="G225" s="940"/>
      <c r="H225" s="969"/>
      <c r="I225" s="940"/>
    </row>
    <row r="226" spans="1:9" ht="30" customHeight="1" x14ac:dyDescent="0.2">
      <c r="A226" s="949">
        <v>128</v>
      </c>
      <c r="B226" s="950" t="s">
        <v>1895</v>
      </c>
      <c r="C226" s="956" t="s">
        <v>3520</v>
      </c>
      <c r="D226" s="942" t="s">
        <v>3112</v>
      </c>
      <c r="E226" s="940"/>
      <c r="F226" s="969"/>
      <c r="G226" s="940"/>
      <c r="H226" s="969"/>
      <c r="I226" s="940"/>
    </row>
    <row r="227" spans="1:9" ht="30" customHeight="1" x14ac:dyDescent="0.2">
      <c r="A227" s="949">
        <v>129</v>
      </c>
      <c r="B227" s="950" t="s">
        <v>2119</v>
      </c>
      <c r="C227" s="956" t="s">
        <v>3520</v>
      </c>
      <c r="D227" s="942" t="s">
        <v>3126</v>
      </c>
      <c r="E227" s="940"/>
      <c r="F227" s="969"/>
      <c r="G227" s="940"/>
      <c r="H227" s="969"/>
      <c r="I227" s="940"/>
    </row>
    <row r="228" spans="1:9" ht="30" customHeight="1" x14ac:dyDescent="0.2">
      <c r="A228" s="949">
        <v>130</v>
      </c>
      <c r="B228" s="950" t="s">
        <v>2164</v>
      </c>
      <c r="C228" s="956" t="s">
        <v>3520</v>
      </c>
      <c r="D228" s="942" t="s">
        <v>3189</v>
      </c>
      <c r="E228" s="940"/>
      <c r="F228" s="969"/>
      <c r="G228" s="940"/>
      <c r="H228" s="969"/>
      <c r="I228" s="940"/>
    </row>
    <row r="229" spans="1:9" ht="30" customHeight="1" x14ac:dyDescent="0.25">
      <c r="A229" s="949">
        <v>131</v>
      </c>
      <c r="B229" s="976" t="s">
        <v>2359</v>
      </c>
      <c r="C229" s="957" t="s">
        <v>3520</v>
      </c>
      <c r="D229" s="942" t="s">
        <v>3280</v>
      </c>
      <c r="E229" s="940"/>
      <c r="F229" s="969"/>
      <c r="G229" s="940"/>
      <c r="H229" s="969"/>
      <c r="I229" s="940"/>
    </row>
    <row r="230" spans="1:9" ht="30" customHeight="1" x14ac:dyDescent="0.2">
      <c r="A230" s="949">
        <v>132</v>
      </c>
      <c r="B230" s="950" t="s">
        <v>2057</v>
      </c>
      <c r="C230" s="956" t="s">
        <v>3520</v>
      </c>
      <c r="D230" s="942" t="s">
        <v>3281</v>
      </c>
      <c r="E230" s="940"/>
      <c r="F230" s="969"/>
      <c r="G230" s="940"/>
      <c r="H230" s="969"/>
      <c r="I230" s="940"/>
    </row>
    <row r="231" spans="1:9" ht="30" customHeight="1" x14ac:dyDescent="0.2">
      <c r="A231" s="949">
        <v>133</v>
      </c>
      <c r="B231" s="950" t="s">
        <v>1859</v>
      </c>
      <c r="C231" s="956" t="s">
        <v>3520</v>
      </c>
      <c r="D231" s="942" t="s">
        <v>3183</v>
      </c>
      <c r="E231" s="940"/>
      <c r="F231" s="969"/>
      <c r="G231" s="940"/>
      <c r="H231" s="969"/>
      <c r="I231" s="940"/>
    </row>
    <row r="232" spans="1:9" ht="30" customHeight="1" x14ac:dyDescent="0.2">
      <c r="A232" s="949">
        <v>136</v>
      </c>
      <c r="B232" s="965" t="s">
        <v>2425</v>
      </c>
      <c r="C232" s="956" t="s">
        <v>3520</v>
      </c>
      <c r="D232" s="942" t="s">
        <v>3286</v>
      </c>
      <c r="E232" s="940"/>
      <c r="F232" s="969"/>
      <c r="G232" s="940"/>
      <c r="H232" s="969"/>
      <c r="I232" s="940"/>
    </row>
    <row r="233" spans="1:9" ht="30" customHeight="1" x14ac:dyDescent="0.2">
      <c r="A233" s="949">
        <v>137</v>
      </c>
      <c r="B233" s="950" t="s">
        <v>2112</v>
      </c>
      <c r="C233" s="956" t="s">
        <v>3520</v>
      </c>
      <c r="D233" s="942" t="s">
        <v>3287</v>
      </c>
      <c r="E233" s="940"/>
      <c r="F233" s="969"/>
      <c r="G233" s="940"/>
      <c r="H233" s="969"/>
      <c r="I233" s="940"/>
    </row>
    <row r="234" spans="1:9" ht="30" customHeight="1" x14ac:dyDescent="0.2">
      <c r="A234" s="949">
        <v>138</v>
      </c>
      <c r="B234" s="950" t="s">
        <v>1613</v>
      </c>
      <c r="C234" s="956" t="s">
        <v>3520</v>
      </c>
      <c r="D234" s="942" t="s">
        <v>3288</v>
      </c>
      <c r="E234" s="940"/>
      <c r="F234" s="969"/>
      <c r="G234" s="940"/>
      <c r="H234" s="969"/>
      <c r="I234" s="940"/>
    </row>
    <row r="235" spans="1:9" ht="30" customHeight="1" x14ac:dyDescent="0.2">
      <c r="A235" s="949">
        <v>145</v>
      </c>
      <c r="B235" s="950" t="s">
        <v>2261</v>
      </c>
      <c r="C235" s="956" t="s">
        <v>3520</v>
      </c>
      <c r="D235" s="942" t="s">
        <v>3298</v>
      </c>
      <c r="E235" s="940"/>
      <c r="F235" s="969"/>
      <c r="G235" s="940"/>
      <c r="H235" s="969"/>
      <c r="I235" s="940"/>
    </row>
    <row r="236" spans="1:9" ht="30" customHeight="1" x14ac:dyDescent="0.25">
      <c r="A236" s="949">
        <v>146</v>
      </c>
      <c r="B236" s="976" t="s">
        <v>2149</v>
      </c>
      <c r="C236" s="957" t="s">
        <v>3520</v>
      </c>
      <c r="D236" s="942" t="s">
        <v>3299</v>
      </c>
      <c r="E236" s="940"/>
      <c r="F236" s="969"/>
      <c r="G236" s="940"/>
      <c r="H236" s="969"/>
      <c r="I236" s="940"/>
    </row>
    <row r="237" spans="1:9" ht="30" customHeight="1" x14ac:dyDescent="0.2">
      <c r="A237" s="949">
        <v>147</v>
      </c>
      <c r="B237" s="950" t="s">
        <v>2224</v>
      </c>
      <c r="C237" s="956" t="s">
        <v>3520</v>
      </c>
      <c r="D237" s="942" t="s">
        <v>3212</v>
      </c>
      <c r="E237" s="940"/>
      <c r="F237" s="969"/>
      <c r="G237" s="940"/>
      <c r="H237" s="969"/>
      <c r="I237" s="940"/>
    </row>
    <row r="238" spans="1:9" ht="30" customHeight="1" x14ac:dyDescent="0.25">
      <c r="A238" s="949">
        <v>161</v>
      </c>
      <c r="B238" s="976" t="s">
        <v>135</v>
      </c>
      <c r="C238" s="957" t="s">
        <v>3520</v>
      </c>
      <c r="D238" s="942" t="s">
        <v>3318</v>
      </c>
      <c r="E238" s="940"/>
      <c r="F238" s="969"/>
      <c r="G238" s="940"/>
      <c r="H238" s="969"/>
      <c r="I238" s="940"/>
    </row>
    <row r="239" spans="1:9" ht="30" customHeight="1" x14ac:dyDescent="0.2">
      <c r="A239" s="949">
        <v>169</v>
      </c>
      <c r="B239" s="950" t="s">
        <v>1964</v>
      </c>
      <c r="C239" s="956" t="s">
        <v>3520</v>
      </c>
      <c r="D239" s="959" t="s">
        <v>3318</v>
      </c>
      <c r="E239" s="940"/>
      <c r="F239" s="969"/>
      <c r="G239" s="940"/>
      <c r="H239" s="969"/>
      <c r="I239" s="940"/>
    </row>
    <row r="240" spans="1:9" ht="30" customHeight="1" x14ac:dyDescent="0.2">
      <c r="A240" s="949">
        <v>171</v>
      </c>
      <c r="B240" s="950" t="s">
        <v>1996</v>
      </c>
      <c r="C240" s="956" t="s">
        <v>3520</v>
      </c>
      <c r="D240" s="942" t="s">
        <v>3331</v>
      </c>
      <c r="E240" s="978" t="s">
        <v>3332</v>
      </c>
      <c r="F240" s="969" t="s">
        <v>3330</v>
      </c>
      <c r="G240" s="969"/>
      <c r="H240" s="969"/>
      <c r="I240" s="940" t="s">
        <v>3330</v>
      </c>
    </row>
    <row r="241" spans="1:9" ht="30" customHeight="1" x14ac:dyDescent="0.2">
      <c r="A241" s="949">
        <v>172</v>
      </c>
      <c r="B241" s="950" t="s">
        <v>3333</v>
      </c>
      <c r="C241" s="956" t="s">
        <v>3520</v>
      </c>
      <c r="D241" s="942" t="s">
        <v>1585</v>
      </c>
      <c r="E241" s="978" t="s">
        <v>3334</v>
      </c>
      <c r="F241" s="969" t="s">
        <v>3330</v>
      </c>
      <c r="G241" s="969"/>
      <c r="H241" s="969"/>
      <c r="I241" s="940" t="s">
        <v>3330</v>
      </c>
    </row>
    <row r="242" spans="1:9" ht="30" customHeight="1" x14ac:dyDescent="0.2">
      <c r="A242" s="949">
        <v>173</v>
      </c>
      <c r="B242" s="950" t="s">
        <v>2084</v>
      </c>
      <c r="C242" s="956" t="s">
        <v>3520</v>
      </c>
      <c r="D242" s="942" t="s">
        <v>3335</v>
      </c>
      <c r="E242" s="978" t="s">
        <v>3336</v>
      </c>
      <c r="F242" s="969" t="s">
        <v>3337</v>
      </c>
      <c r="G242" s="969"/>
      <c r="H242" s="969"/>
      <c r="I242" s="940" t="s">
        <v>3337</v>
      </c>
    </row>
    <row r="243" spans="1:9" ht="30" customHeight="1" x14ac:dyDescent="0.2">
      <c r="A243" s="949">
        <v>175</v>
      </c>
      <c r="B243" s="950" t="s">
        <v>3340</v>
      </c>
      <c r="C243" s="956" t="s">
        <v>3520</v>
      </c>
      <c r="D243" s="942" t="s">
        <v>3115</v>
      </c>
      <c r="E243" s="978" t="s">
        <v>3341</v>
      </c>
      <c r="F243" s="969" t="s">
        <v>3330</v>
      </c>
      <c r="G243" s="969"/>
      <c r="H243" s="969"/>
      <c r="I243" s="940" t="s">
        <v>3330</v>
      </c>
    </row>
    <row r="244" spans="1:9" ht="30" customHeight="1" x14ac:dyDescent="0.2">
      <c r="A244" s="949">
        <v>180</v>
      </c>
      <c r="B244" s="950" t="s">
        <v>1872</v>
      </c>
      <c r="C244" s="956" t="s">
        <v>3520</v>
      </c>
      <c r="D244" s="942" t="s">
        <v>3353</v>
      </c>
      <c r="E244" s="978" t="s">
        <v>3354</v>
      </c>
      <c r="F244" s="969" t="s">
        <v>3337</v>
      </c>
      <c r="G244" s="969"/>
      <c r="H244" s="969"/>
      <c r="I244" s="940" t="s">
        <v>3337</v>
      </c>
    </row>
    <row r="245" spans="1:9" ht="30" customHeight="1" x14ac:dyDescent="0.2">
      <c r="A245" s="949">
        <v>181</v>
      </c>
      <c r="B245" s="950" t="s">
        <v>2093</v>
      </c>
      <c r="C245" s="956" t="s">
        <v>3520</v>
      </c>
      <c r="D245" s="942" t="s">
        <v>3355</v>
      </c>
      <c r="E245" s="978" t="s">
        <v>3356</v>
      </c>
      <c r="F245" s="969" t="s">
        <v>3337</v>
      </c>
      <c r="G245" s="969"/>
      <c r="H245" s="969"/>
      <c r="I245" s="940" t="s">
        <v>3337</v>
      </c>
    </row>
    <row r="246" spans="1:9" ht="30" customHeight="1" x14ac:dyDescent="0.2">
      <c r="A246" s="949">
        <v>183</v>
      </c>
      <c r="B246" s="950" t="s">
        <v>1908</v>
      </c>
      <c r="C246" s="956" t="s">
        <v>3520</v>
      </c>
      <c r="D246" s="942" t="s">
        <v>3360</v>
      </c>
      <c r="E246" s="978" t="s">
        <v>3361</v>
      </c>
      <c r="F246" s="969" t="s">
        <v>3337</v>
      </c>
      <c r="G246" s="969"/>
      <c r="H246" s="969"/>
      <c r="I246" s="940" t="s">
        <v>3337</v>
      </c>
    </row>
    <row r="247" spans="1:9" ht="30" customHeight="1" x14ac:dyDescent="0.2">
      <c r="A247" s="949">
        <v>184</v>
      </c>
      <c r="B247" s="950" t="s">
        <v>2471</v>
      </c>
      <c r="C247" s="956" t="s">
        <v>3520</v>
      </c>
      <c r="D247" s="942" t="s">
        <v>290</v>
      </c>
      <c r="E247" s="978" t="s">
        <v>3362</v>
      </c>
      <c r="F247" s="969" t="s">
        <v>3337</v>
      </c>
      <c r="G247" s="969"/>
      <c r="H247" s="969"/>
      <c r="I247" s="940" t="s">
        <v>3337</v>
      </c>
    </row>
    <row r="248" spans="1:9" ht="30" customHeight="1" x14ac:dyDescent="0.2">
      <c r="A248" s="949">
        <v>185</v>
      </c>
      <c r="B248" s="956" t="s">
        <v>399</v>
      </c>
      <c r="C248" s="956" t="s">
        <v>3520</v>
      </c>
      <c r="D248" s="942" t="s">
        <v>3363</v>
      </c>
      <c r="E248" s="978" t="s">
        <v>3364</v>
      </c>
      <c r="F248" s="969" t="s">
        <v>3330</v>
      </c>
      <c r="G248" s="969"/>
      <c r="H248" s="969"/>
      <c r="I248" s="940" t="s">
        <v>3330</v>
      </c>
    </row>
    <row r="249" spans="1:9" ht="30" customHeight="1" x14ac:dyDescent="0.2">
      <c r="A249" s="949">
        <v>186</v>
      </c>
      <c r="B249" s="950" t="s">
        <v>1475</v>
      </c>
      <c r="C249" s="956" t="s">
        <v>3520</v>
      </c>
      <c r="D249" s="942" t="s">
        <v>3365</v>
      </c>
      <c r="E249" s="978" t="s">
        <v>3366</v>
      </c>
      <c r="F249" s="969" t="s">
        <v>3330</v>
      </c>
      <c r="G249" s="969"/>
      <c r="H249" s="969"/>
      <c r="I249" s="940" t="s">
        <v>3330</v>
      </c>
    </row>
    <row r="250" spans="1:9" ht="30" customHeight="1" x14ac:dyDescent="0.2">
      <c r="A250" s="949">
        <v>188</v>
      </c>
      <c r="B250" s="956" t="s">
        <v>120</v>
      </c>
      <c r="C250" s="956" t="s">
        <v>3520</v>
      </c>
      <c r="D250" s="942" t="s">
        <v>3370</v>
      </c>
      <c r="E250" s="978" t="s">
        <v>3371</v>
      </c>
      <c r="F250" s="969" t="s">
        <v>3337</v>
      </c>
      <c r="G250" s="969"/>
      <c r="H250" s="969"/>
      <c r="I250" s="940" t="s">
        <v>3337</v>
      </c>
    </row>
    <row r="251" spans="1:9" ht="54" customHeight="1" x14ac:dyDescent="0.25">
      <c r="A251" s="949">
        <v>191</v>
      </c>
      <c r="B251" s="976" t="s">
        <v>2051</v>
      </c>
      <c r="C251" s="957" t="s">
        <v>3520</v>
      </c>
      <c r="D251" s="942" t="s">
        <v>2052</v>
      </c>
      <c r="E251" s="978" t="s">
        <v>3377</v>
      </c>
      <c r="F251" s="969" t="s">
        <v>3345</v>
      </c>
      <c r="G251" s="969"/>
      <c r="H251" s="969"/>
      <c r="I251" s="940" t="s">
        <v>3345</v>
      </c>
    </row>
    <row r="252" spans="1:9" ht="30" customHeight="1" x14ac:dyDescent="0.2">
      <c r="A252" s="949">
        <v>192</v>
      </c>
      <c r="B252" s="958" t="s">
        <v>2533</v>
      </c>
      <c r="C252" s="957" t="s">
        <v>3520</v>
      </c>
      <c r="D252" s="942" t="s">
        <v>3378</v>
      </c>
      <c r="E252" s="978" t="s">
        <v>3379</v>
      </c>
      <c r="F252" s="969" t="s">
        <v>3380</v>
      </c>
      <c r="G252" s="969"/>
      <c r="H252" s="969"/>
      <c r="I252" s="940" t="s">
        <v>3380</v>
      </c>
    </row>
    <row r="253" spans="1:9" ht="30" customHeight="1" x14ac:dyDescent="0.2">
      <c r="A253" s="949">
        <v>193</v>
      </c>
      <c r="B253" s="950" t="s">
        <v>2213</v>
      </c>
      <c r="C253" s="956" t="s">
        <v>3520</v>
      </c>
      <c r="D253" s="942" t="s">
        <v>3381</v>
      </c>
      <c r="E253" s="978" t="s">
        <v>3382</v>
      </c>
      <c r="F253" s="969" t="s">
        <v>3337</v>
      </c>
      <c r="G253" s="969"/>
      <c r="H253" s="969"/>
      <c r="I253" s="940" t="s">
        <v>3337</v>
      </c>
    </row>
    <row r="254" spans="1:9" ht="30" customHeight="1" x14ac:dyDescent="0.2">
      <c r="A254" s="949">
        <v>194</v>
      </c>
      <c r="B254" s="950" t="s">
        <v>2386</v>
      </c>
      <c r="C254" s="956" t="s">
        <v>3520</v>
      </c>
      <c r="D254" s="942" t="s">
        <v>2847</v>
      </c>
      <c r="E254" s="978" t="s">
        <v>3383</v>
      </c>
      <c r="F254" s="969" t="s">
        <v>3380</v>
      </c>
      <c r="G254" s="969"/>
      <c r="H254" s="969"/>
      <c r="I254" s="940" t="s">
        <v>3380</v>
      </c>
    </row>
    <row r="255" spans="1:9" ht="30" customHeight="1" x14ac:dyDescent="0.2">
      <c r="A255" s="949">
        <v>195</v>
      </c>
      <c r="B255" s="950" t="s">
        <v>2517</v>
      </c>
      <c r="C255" s="956" t="s">
        <v>3520</v>
      </c>
      <c r="D255" s="942" t="s">
        <v>2518</v>
      </c>
      <c r="E255" s="978" t="s">
        <v>3384</v>
      </c>
      <c r="F255" s="969" t="s">
        <v>3380</v>
      </c>
      <c r="G255" s="969"/>
      <c r="H255" s="969"/>
      <c r="I255" s="940" t="s">
        <v>3380</v>
      </c>
    </row>
    <row r="256" spans="1:9" ht="30" customHeight="1" x14ac:dyDescent="0.2">
      <c r="A256" s="949">
        <v>197</v>
      </c>
      <c r="B256" s="950" t="s">
        <v>2247</v>
      </c>
      <c r="C256" s="956" t="s">
        <v>3520</v>
      </c>
      <c r="D256" s="942" t="s">
        <v>3388</v>
      </c>
      <c r="E256" s="978" t="s">
        <v>3389</v>
      </c>
      <c r="F256" s="969" t="s">
        <v>3380</v>
      </c>
      <c r="G256" s="969"/>
      <c r="H256" s="969"/>
      <c r="I256" s="940" t="s">
        <v>3380</v>
      </c>
    </row>
    <row r="257" spans="1:9" ht="30" customHeight="1" x14ac:dyDescent="0.25">
      <c r="A257" s="949">
        <v>198</v>
      </c>
      <c r="B257" s="976" t="s">
        <v>2038</v>
      </c>
      <c r="C257" s="957" t="s">
        <v>3520</v>
      </c>
      <c r="D257" s="942" t="s">
        <v>2039</v>
      </c>
      <c r="E257" s="978" t="s">
        <v>3390</v>
      </c>
      <c r="F257" s="969" t="s">
        <v>3380</v>
      </c>
      <c r="G257" s="969"/>
      <c r="H257" s="969"/>
      <c r="I257" s="940" t="s">
        <v>3380</v>
      </c>
    </row>
    <row r="258" spans="1:9" ht="30" customHeight="1" x14ac:dyDescent="0.2">
      <c r="A258" s="949">
        <v>202</v>
      </c>
      <c r="B258" s="958" t="s">
        <v>2101</v>
      </c>
      <c r="C258" s="957" t="s">
        <v>3520</v>
      </c>
      <c r="D258" s="942" t="s">
        <v>3399</v>
      </c>
      <c r="E258" s="978" t="s">
        <v>3400</v>
      </c>
      <c r="F258" s="969" t="s">
        <v>3337</v>
      </c>
      <c r="G258" s="969"/>
      <c r="H258" s="969"/>
      <c r="I258" s="940" t="s">
        <v>3337</v>
      </c>
    </row>
    <row r="259" spans="1:9" ht="30" customHeight="1" x14ac:dyDescent="0.2">
      <c r="A259" s="949">
        <v>203</v>
      </c>
      <c r="B259" s="950" t="s">
        <v>2236</v>
      </c>
      <c r="C259" s="956" t="s">
        <v>3520</v>
      </c>
      <c r="D259" s="942" t="s">
        <v>3401</v>
      </c>
      <c r="E259" s="978" t="s">
        <v>3402</v>
      </c>
      <c r="F259" s="969" t="s">
        <v>3380</v>
      </c>
      <c r="G259" s="969"/>
      <c r="H259" s="969"/>
      <c r="I259" s="940" t="s">
        <v>3380</v>
      </c>
    </row>
    <row r="260" spans="1:9" ht="30" customHeight="1" x14ac:dyDescent="0.2">
      <c r="A260" s="949">
        <v>208</v>
      </c>
      <c r="B260" s="958" t="s">
        <v>2753</v>
      </c>
      <c r="C260" s="957" t="s">
        <v>3520</v>
      </c>
      <c r="D260" s="942" t="s">
        <v>3409</v>
      </c>
      <c r="E260" s="978" t="s">
        <v>3410</v>
      </c>
      <c r="F260" s="969" t="s">
        <v>3380</v>
      </c>
      <c r="G260" s="969"/>
      <c r="H260" s="969"/>
      <c r="I260" s="940" t="s">
        <v>3380</v>
      </c>
    </row>
    <row r="261" spans="1:9" ht="30" customHeight="1" x14ac:dyDescent="0.2">
      <c r="A261" s="949">
        <v>209</v>
      </c>
      <c r="B261" s="950" t="s">
        <v>3411</v>
      </c>
      <c r="C261" s="956" t="s">
        <v>3520</v>
      </c>
      <c r="D261" s="942" t="s">
        <v>8</v>
      </c>
      <c r="E261" s="978" t="s">
        <v>3412</v>
      </c>
      <c r="F261" s="969" t="s">
        <v>3380</v>
      </c>
      <c r="G261" s="969"/>
      <c r="H261" s="969"/>
      <c r="I261" s="940" t="s">
        <v>3380</v>
      </c>
    </row>
    <row r="262" spans="1:9" ht="30" customHeight="1" x14ac:dyDescent="0.2">
      <c r="A262" s="949">
        <v>212</v>
      </c>
      <c r="B262" s="965" t="s">
        <v>2455</v>
      </c>
      <c r="C262" s="956" t="s">
        <v>3520</v>
      </c>
      <c r="D262" s="942" t="s">
        <v>2456</v>
      </c>
      <c r="E262" s="978" t="s">
        <v>3417</v>
      </c>
      <c r="F262" s="969" t="s">
        <v>3418</v>
      </c>
      <c r="G262" s="969"/>
      <c r="H262" s="969"/>
      <c r="I262" s="940" t="s">
        <v>3418</v>
      </c>
    </row>
    <row r="263" spans="1:9" ht="30" customHeight="1" x14ac:dyDescent="0.2">
      <c r="A263" s="949">
        <v>213</v>
      </c>
      <c r="B263" s="950" t="s">
        <v>2570</v>
      </c>
      <c r="C263" s="956" t="s">
        <v>3520</v>
      </c>
      <c r="D263" s="942" t="s">
        <v>3419</v>
      </c>
      <c r="E263" s="978" t="s">
        <v>3420</v>
      </c>
      <c r="F263" s="969" t="s">
        <v>3345</v>
      </c>
      <c r="G263" s="969"/>
      <c r="H263" s="969"/>
      <c r="I263" s="940" t="s">
        <v>3345</v>
      </c>
    </row>
    <row r="264" spans="1:9" ht="30" customHeight="1" x14ac:dyDescent="0.2">
      <c r="A264" s="949">
        <v>215</v>
      </c>
      <c r="B264" s="958" t="s">
        <v>2731</v>
      </c>
      <c r="C264" s="957" t="s">
        <v>3520</v>
      </c>
      <c r="D264" s="942" t="s">
        <v>244</v>
      </c>
      <c r="E264" s="978" t="s">
        <v>3423</v>
      </c>
      <c r="F264" s="969" t="s">
        <v>3337</v>
      </c>
      <c r="G264" s="969"/>
      <c r="H264" s="969"/>
      <c r="I264" s="940" t="s">
        <v>3337</v>
      </c>
    </row>
    <row r="265" spans="1:9" ht="30" customHeight="1" x14ac:dyDescent="0.2">
      <c r="A265" s="949">
        <v>216</v>
      </c>
      <c r="B265" s="956" t="s">
        <v>163</v>
      </c>
      <c r="C265" s="956" t="s">
        <v>3520</v>
      </c>
      <c r="D265" s="942" t="s">
        <v>3424</v>
      </c>
      <c r="E265" s="978" t="s">
        <v>3425</v>
      </c>
      <c r="F265" s="969" t="s">
        <v>3337</v>
      </c>
      <c r="G265" s="969"/>
      <c r="H265" s="969"/>
      <c r="I265" s="940" t="s">
        <v>3337</v>
      </c>
    </row>
    <row r="266" spans="1:9" ht="30" customHeight="1" x14ac:dyDescent="0.2">
      <c r="A266" s="949">
        <v>217</v>
      </c>
      <c r="B266" s="950" t="s">
        <v>1891</v>
      </c>
      <c r="C266" s="956" t="s">
        <v>3520</v>
      </c>
      <c r="D266" s="942" t="s">
        <v>3426</v>
      </c>
      <c r="E266" s="978" t="s">
        <v>3427</v>
      </c>
      <c r="F266" s="969" t="s">
        <v>3380</v>
      </c>
      <c r="G266" s="969"/>
      <c r="H266" s="969"/>
      <c r="I266" s="940" t="s">
        <v>3380</v>
      </c>
    </row>
    <row r="267" spans="1:9" ht="30" customHeight="1" x14ac:dyDescent="0.25">
      <c r="A267" s="949">
        <v>219</v>
      </c>
      <c r="B267" s="976" t="s">
        <v>1758</v>
      </c>
      <c r="C267" s="957" t="s">
        <v>3520</v>
      </c>
      <c r="D267" s="942" t="s">
        <v>3431</v>
      </c>
      <c r="E267" s="978" t="s">
        <v>3432</v>
      </c>
      <c r="F267" s="969" t="s">
        <v>3345</v>
      </c>
      <c r="G267" s="969"/>
      <c r="H267" s="969"/>
      <c r="I267" s="940" t="s">
        <v>3345</v>
      </c>
    </row>
    <row r="268" spans="1:9" ht="30" customHeight="1" x14ac:dyDescent="0.2">
      <c r="A268" s="949">
        <v>225</v>
      </c>
      <c r="B268" s="956" t="s">
        <v>3442</v>
      </c>
      <c r="C268" s="956" t="s">
        <v>3520</v>
      </c>
      <c r="D268" s="942" t="s">
        <v>3443</v>
      </c>
      <c r="E268" s="978" t="s">
        <v>3444</v>
      </c>
      <c r="F268" s="969" t="s">
        <v>3380</v>
      </c>
      <c r="G268" s="969"/>
      <c r="H268" s="969"/>
      <c r="I268" s="940" t="s">
        <v>3380</v>
      </c>
    </row>
    <row r="269" spans="1:9" ht="30" customHeight="1" x14ac:dyDescent="0.2">
      <c r="A269" s="949">
        <v>226</v>
      </c>
      <c r="B269" s="950" t="s">
        <v>3445</v>
      </c>
      <c r="C269" s="956" t="s">
        <v>3520</v>
      </c>
      <c r="D269" s="942" t="s">
        <v>3446</v>
      </c>
      <c r="E269" s="978" t="s">
        <v>3447</v>
      </c>
      <c r="F269" s="969" t="s">
        <v>3380</v>
      </c>
      <c r="G269" s="969"/>
      <c r="H269" s="969"/>
      <c r="I269" s="940" t="s">
        <v>3380</v>
      </c>
    </row>
    <row r="270" spans="1:9" ht="30" customHeight="1" x14ac:dyDescent="0.2">
      <c r="A270" s="949">
        <v>227</v>
      </c>
      <c r="B270" s="950" t="s">
        <v>2232</v>
      </c>
      <c r="C270" s="956" t="s">
        <v>3520</v>
      </c>
      <c r="D270" s="942" t="s">
        <v>3365</v>
      </c>
      <c r="E270" s="978" t="s">
        <v>3448</v>
      </c>
      <c r="F270" s="969" t="s">
        <v>3380</v>
      </c>
      <c r="G270" s="969"/>
      <c r="H270" s="969"/>
      <c r="I270" s="940" t="s">
        <v>3380</v>
      </c>
    </row>
    <row r="271" spans="1:9" ht="30" customHeight="1" x14ac:dyDescent="0.2">
      <c r="A271" s="949">
        <v>228</v>
      </c>
      <c r="B271" s="950" t="s">
        <v>2435</v>
      </c>
      <c r="C271" s="956" t="s">
        <v>3520</v>
      </c>
      <c r="D271" s="942" t="s">
        <v>3449</v>
      </c>
      <c r="E271" s="978" t="s">
        <v>3450</v>
      </c>
      <c r="F271" s="969" t="s">
        <v>3337</v>
      </c>
      <c r="G271" s="969"/>
      <c r="H271" s="969"/>
      <c r="I271" s="940" t="s">
        <v>3337</v>
      </c>
    </row>
    <row r="272" spans="1:9" ht="30" customHeight="1" x14ac:dyDescent="0.2">
      <c r="A272" s="949">
        <v>230</v>
      </c>
      <c r="B272" s="950" t="s">
        <v>2433</v>
      </c>
      <c r="C272" s="956" t="s">
        <v>3520</v>
      </c>
      <c r="D272" s="942" t="s">
        <v>2434</v>
      </c>
      <c r="E272" s="978" t="s">
        <v>3453</v>
      </c>
      <c r="F272" s="969" t="s">
        <v>3418</v>
      </c>
      <c r="G272" s="969"/>
      <c r="H272" s="969"/>
      <c r="I272" s="940" t="s">
        <v>3418</v>
      </c>
    </row>
    <row r="273" spans="1:9" ht="30" customHeight="1" x14ac:dyDescent="0.2">
      <c r="A273" s="949">
        <v>231</v>
      </c>
      <c r="B273" s="950" t="s">
        <v>2465</v>
      </c>
      <c r="C273" s="956" t="s">
        <v>3520</v>
      </c>
      <c r="D273" s="942" t="s">
        <v>3454</v>
      </c>
      <c r="E273" s="978" t="s">
        <v>3455</v>
      </c>
      <c r="F273" s="969" t="s">
        <v>3418</v>
      </c>
      <c r="G273" s="969"/>
      <c r="H273" s="969"/>
      <c r="I273" s="940" t="s">
        <v>3418</v>
      </c>
    </row>
    <row r="274" spans="1:9" ht="30" customHeight="1" x14ac:dyDescent="0.2">
      <c r="A274" s="949">
        <v>232</v>
      </c>
      <c r="B274" s="950" t="s">
        <v>2756</v>
      </c>
      <c r="C274" s="956" t="s">
        <v>3520</v>
      </c>
      <c r="D274" s="942" t="s">
        <v>2757</v>
      </c>
      <c r="E274" s="978" t="s">
        <v>3456</v>
      </c>
      <c r="F274" s="969" t="s">
        <v>3345</v>
      </c>
      <c r="G274" s="969"/>
      <c r="H274" s="969"/>
      <c r="I274" s="940" t="s">
        <v>3345</v>
      </c>
    </row>
    <row r="275" spans="1:9" ht="30" customHeight="1" x14ac:dyDescent="0.2">
      <c r="A275" s="949">
        <v>233</v>
      </c>
      <c r="B275" s="950" t="s">
        <v>2442</v>
      </c>
      <c r="C275" s="956" t="s">
        <v>3520</v>
      </c>
      <c r="D275" s="942" t="s">
        <v>3457</v>
      </c>
      <c r="E275" s="978" t="s">
        <v>3458</v>
      </c>
      <c r="F275" s="969" t="s">
        <v>3418</v>
      </c>
      <c r="G275" s="969"/>
      <c r="H275" s="969"/>
      <c r="I275" s="940" t="s">
        <v>3418</v>
      </c>
    </row>
    <row r="276" spans="1:9" ht="30" customHeight="1" x14ac:dyDescent="0.2">
      <c r="A276" s="949">
        <v>234</v>
      </c>
      <c r="B276" s="950" t="s">
        <v>1973</v>
      </c>
      <c r="C276" s="956" t="s">
        <v>3520</v>
      </c>
      <c r="D276" s="942" t="s">
        <v>3459</v>
      </c>
      <c r="E276" s="978"/>
      <c r="F276" s="969" t="s">
        <v>3345</v>
      </c>
      <c r="G276" s="969"/>
      <c r="H276" s="969"/>
      <c r="I276" s="940" t="s">
        <v>3345</v>
      </c>
    </row>
    <row r="277" spans="1:9" ht="30" customHeight="1" x14ac:dyDescent="0.2">
      <c r="A277" s="949">
        <v>236</v>
      </c>
      <c r="B277" s="950" t="s">
        <v>2546</v>
      </c>
      <c r="C277" s="956" t="s">
        <v>3520</v>
      </c>
      <c r="D277" s="942" t="s">
        <v>3462</v>
      </c>
      <c r="E277" s="978" t="s">
        <v>3463</v>
      </c>
      <c r="F277" s="969" t="s">
        <v>3418</v>
      </c>
      <c r="G277" s="969"/>
      <c r="H277" s="969"/>
      <c r="I277" s="940" t="s">
        <v>3418</v>
      </c>
    </row>
    <row r="278" spans="1:9" ht="30" customHeight="1" x14ac:dyDescent="0.2">
      <c r="A278" s="949">
        <v>237</v>
      </c>
      <c r="B278" s="950" t="s">
        <v>2528</v>
      </c>
      <c r="C278" s="956" t="s">
        <v>3520</v>
      </c>
      <c r="D278" s="942" t="s">
        <v>2047</v>
      </c>
      <c r="E278" s="978" t="s">
        <v>3464</v>
      </c>
      <c r="F278" s="969" t="s">
        <v>3418</v>
      </c>
      <c r="G278" s="969"/>
      <c r="H278" s="969"/>
      <c r="I278" s="940" t="s">
        <v>3418</v>
      </c>
    </row>
    <row r="279" spans="1:9" ht="30" customHeight="1" x14ac:dyDescent="0.2">
      <c r="A279" s="949">
        <v>238</v>
      </c>
      <c r="B279" s="950" t="s">
        <v>2642</v>
      </c>
      <c r="C279" s="956" t="s">
        <v>3520</v>
      </c>
      <c r="D279" s="942" t="s">
        <v>2643</v>
      </c>
      <c r="E279" s="978" t="s">
        <v>3465</v>
      </c>
      <c r="F279" s="969" t="s">
        <v>3418</v>
      </c>
      <c r="G279" s="969"/>
      <c r="H279" s="969"/>
      <c r="I279" s="940" t="s">
        <v>3418</v>
      </c>
    </row>
    <row r="280" spans="1:9" ht="30" customHeight="1" x14ac:dyDescent="0.2">
      <c r="A280" s="949">
        <v>239</v>
      </c>
      <c r="B280" s="950" t="s">
        <v>2841</v>
      </c>
      <c r="C280" s="956" t="s">
        <v>3520</v>
      </c>
      <c r="D280" s="942" t="s">
        <v>3457</v>
      </c>
      <c r="E280" s="978" t="s">
        <v>3466</v>
      </c>
      <c r="F280" s="969" t="s">
        <v>3418</v>
      </c>
      <c r="G280" s="969"/>
      <c r="H280" s="969"/>
      <c r="I280" s="940" t="s">
        <v>3418</v>
      </c>
    </row>
    <row r="281" spans="1:9" ht="30" customHeight="1" x14ac:dyDescent="0.2">
      <c r="A281" s="949">
        <v>240</v>
      </c>
      <c r="B281" s="950" t="s">
        <v>2682</v>
      </c>
      <c r="C281" s="956" t="s">
        <v>3520</v>
      </c>
      <c r="D281" s="942" t="s">
        <v>3467</v>
      </c>
      <c r="E281" s="978" t="s">
        <v>3468</v>
      </c>
      <c r="F281" s="969" t="s">
        <v>3469</v>
      </c>
      <c r="G281" s="969"/>
      <c r="H281" s="969"/>
      <c r="I281" s="940" t="s">
        <v>3469</v>
      </c>
    </row>
    <row r="282" spans="1:9" ht="30" customHeight="1" x14ac:dyDescent="0.2">
      <c r="A282" s="949">
        <v>241</v>
      </c>
      <c r="B282" s="950" t="s">
        <v>2696</v>
      </c>
      <c r="C282" s="956" t="s">
        <v>3520</v>
      </c>
      <c r="D282" s="942" t="s">
        <v>3470</v>
      </c>
      <c r="E282" s="978" t="s">
        <v>3471</v>
      </c>
      <c r="F282" s="969" t="s">
        <v>3472</v>
      </c>
      <c r="G282" s="969"/>
      <c r="H282" s="969"/>
      <c r="I282" s="940" t="s">
        <v>3472</v>
      </c>
    </row>
    <row r="283" spans="1:9" ht="30" customHeight="1" x14ac:dyDescent="0.2">
      <c r="A283" s="949">
        <v>242</v>
      </c>
      <c r="B283" s="950" t="s">
        <v>2694</v>
      </c>
      <c r="C283" s="956" t="s">
        <v>3520</v>
      </c>
      <c r="D283" s="942" t="s">
        <v>2697</v>
      </c>
      <c r="E283" s="978" t="s">
        <v>3473</v>
      </c>
      <c r="F283" s="969" t="s">
        <v>3472</v>
      </c>
      <c r="G283" s="969"/>
      <c r="H283" s="969"/>
      <c r="I283" s="940" t="s">
        <v>3472</v>
      </c>
    </row>
    <row r="284" spans="1:9" ht="30" customHeight="1" x14ac:dyDescent="0.2">
      <c r="A284" s="949">
        <v>243</v>
      </c>
      <c r="B284" s="950" t="s">
        <v>2699</v>
      </c>
      <c r="C284" s="956" t="s">
        <v>3520</v>
      </c>
      <c r="D284" s="942" t="s">
        <v>2700</v>
      </c>
      <c r="E284" s="978" t="s">
        <v>3474</v>
      </c>
      <c r="F284" s="969" t="s">
        <v>3472</v>
      </c>
      <c r="G284" s="969"/>
      <c r="H284" s="969"/>
      <c r="I284" s="940" t="s">
        <v>3472</v>
      </c>
    </row>
    <row r="285" spans="1:9" ht="30" customHeight="1" x14ac:dyDescent="0.2">
      <c r="A285" s="949">
        <v>245</v>
      </c>
      <c r="B285" s="950" t="s">
        <v>2481</v>
      </c>
      <c r="C285" s="956" t="s">
        <v>3520</v>
      </c>
      <c r="D285" s="942" t="s">
        <v>3476</v>
      </c>
      <c r="E285" s="978" t="s">
        <v>3477</v>
      </c>
      <c r="F285" s="969" t="s">
        <v>3469</v>
      </c>
      <c r="G285" s="969"/>
      <c r="H285" s="969"/>
      <c r="I285" s="940" t="s">
        <v>3469</v>
      </c>
    </row>
    <row r="286" spans="1:9" ht="30" customHeight="1" x14ac:dyDescent="0.25">
      <c r="A286" s="949">
        <v>246</v>
      </c>
      <c r="B286" s="976" t="s">
        <v>2638</v>
      </c>
      <c r="C286" s="957" t="s">
        <v>3520</v>
      </c>
      <c r="D286" s="942" t="s">
        <v>2639</v>
      </c>
      <c r="E286" s="978" t="s">
        <v>3478</v>
      </c>
      <c r="F286" s="969" t="s">
        <v>3418</v>
      </c>
      <c r="G286" s="969"/>
      <c r="H286" s="969"/>
      <c r="I286" s="940" t="s">
        <v>3418</v>
      </c>
    </row>
    <row r="287" spans="1:9" ht="30" customHeight="1" x14ac:dyDescent="0.2">
      <c r="A287" s="949">
        <v>247</v>
      </c>
      <c r="B287" s="950" t="s">
        <v>2844</v>
      </c>
      <c r="C287" s="956" t="s">
        <v>3520</v>
      </c>
      <c r="D287" s="942" t="s">
        <v>3454</v>
      </c>
      <c r="E287" s="978" t="s">
        <v>3479</v>
      </c>
      <c r="F287" s="969" t="s">
        <v>3418</v>
      </c>
      <c r="G287" s="969"/>
      <c r="H287" s="969"/>
      <c r="I287" s="940" t="s">
        <v>3418</v>
      </c>
    </row>
    <row r="288" spans="1:9" ht="30" customHeight="1" x14ac:dyDescent="0.2">
      <c r="A288" s="949">
        <v>248</v>
      </c>
      <c r="B288" s="950" t="s">
        <v>2506</v>
      </c>
      <c r="C288" s="956" t="s">
        <v>3520</v>
      </c>
      <c r="D288" s="942" t="s">
        <v>3480</v>
      </c>
      <c r="E288" s="978" t="s">
        <v>3481</v>
      </c>
      <c r="F288" s="969" t="s">
        <v>3469</v>
      </c>
      <c r="G288" s="969"/>
      <c r="H288" s="969"/>
      <c r="I288" s="940" t="s">
        <v>3469</v>
      </c>
    </row>
    <row r="289" spans="1:9" ht="30" customHeight="1" x14ac:dyDescent="0.25">
      <c r="A289" s="949">
        <v>249</v>
      </c>
      <c r="B289" s="976" t="s">
        <v>2486</v>
      </c>
      <c r="C289" s="957" t="s">
        <v>3520</v>
      </c>
      <c r="D289" s="942" t="s">
        <v>2487</v>
      </c>
      <c r="E289" s="978" t="s">
        <v>3482</v>
      </c>
      <c r="F289" s="969" t="s">
        <v>3469</v>
      </c>
      <c r="G289" s="969"/>
      <c r="H289" s="969" t="s">
        <v>3553</v>
      </c>
      <c r="I289" s="940" t="s">
        <v>3549</v>
      </c>
    </row>
    <row r="290" spans="1:9" ht="30" customHeight="1" x14ac:dyDescent="0.2">
      <c r="A290" s="949">
        <v>250</v>
      </c>
      <c r="B290" s="950" t="s">
        <v>2496</v>
      </c>
      <c r="C290" s="956" t="s">
        <v>3520</v>
      </c>
      <c r="D290" s="942" t="s">
        <v>3483</v>
      </c>
      <c r="E290" s="978" t="s">
        <v>3484</v>
      </c>
      <c r="F290" s="969" t="s">
        <v>3469</v>
      </c>
      <c r="G290" s="969"/>
      <c r="H290" s="969"/>
      <c r="I290" s="940" t="s">
        <v>3469</v>
      </c>
    </row>
    <row r="291" spans="1:9" ht="30" customHeight="1" x14ac:dyDescent="0.2">
      <c r="A291" s="949">
        <v>251</v>
      </c>
      <c r="B291" s="950" t="s">
        <v>2489</v>
      </c>
      <c r="C291" s="956" t="s">
        <v>3520</v>
      </c>
      <c r="D291" s="942" t="s">
        <v>3485</v>
      </c>
      <c r="E291" s="978" t="s">
        <v>3486</v>
      </c>
      <c r="F291" s="969" t="s">
        <v>3418</v>
      </c>
      <c r="G291" s="969"/>
      <c r="H291" s="969"/>
      <c r="I291" s="940" t="s">
        <v>3418</v>
      </c>
    </row>
    <row r="292" spans="1:9" ht="30" customHeight="1" x14ac:dyDescent="0.2">
      <c r="A292" s="949">
        <v>252</v>
      </c>
      <c r="B292" s="950" t="s">
        <v>2502</v>
      </c>
      <c r="C292" s="956" t="s">
        <v>3520</v>
      </c>
      <c r="D292" s="942" t="s">
        <v>3487</v>
      </c>
      <c r="E292" s="978" t="s">
        <v>3488</v>
      </c>
      <c r="F292" s="969" t="s">
        <v>3418</v>
      </c>
      <c r="G292" s="969"/>
      <c r="H292" s="969"/>
      <c r="I292" s="940" t="s">
        <v>3418</v>
      </c>
    </row>
    <row r="293" spans="1:9" ht="30" customHeight="1" x14ac:dyDescent="0.2">
      <c r="A293" s="949">
        <v>253</v>
      </c>
      <c r="B293" s="950" t="s">
        <v>2482</v>
      </c>
      <c r="C293" s="956" t="s">
        <v>3520</v>
      </c>
      <c r="D293" s="942" t="s">
        <v>3489</v>
      </c>
      <c r="E293" s="978" t="s">
        <v>3490</v>
      </c>
      <c r="F293" s="969" t="s">
        <v>3418</v>
      </c>
      <c r="G293" s="969"/>
      <c r="H293" s="969"/>
      <c r="I293" s="940" t="s">
        <v>3418</v>
      </c>
    </row>
    <row r="294" spans="1:9" ht="30" customHeight="1" x14ac:dyDescent="0.2">
      <c r="A294" s="949">
        <v>254</v>
      </c>
      <c r="B294" s="950" t="s">
        <v>2431</v>
      </c>
      <c r="C294" s="956" t="s">
        <v>3520</v>
      </c>
      <c r="D294" s="942" t="s">
        <v>1537</v>
      </c>
      <c r="E294" s="978" t="s">
        <v>3491</v>
      </c>
      <c r="F294" s="969" t="s">
        <v>3418</v>
      </c>
      <c r="G294" s="969"/>
      <c r="H294" s="969"/>
      <c r="I294" s="940" t="s">
        <v>3418</v>
      </c>
    </row>
    <row r="295" spans="1:9" ht="30" customHeight="1" x14ac:dyDescent="0.2">
      <c r="A295" s="949">
        <v>255</v>
      </c>
      <c r="B295" s="950" t="s">
        <v>2463</v>
      </c>
      <c r="C295" s="956" t="s">
        <v>3520</v>
      </c>
      <c r="D295" s="942" t="s">
        <v>3492</v>
      </c>
      <c r="E295" s="978" t="s">
        <v>3493</v>
      </c>
      <c r="F295" s="969" t="s">
        <v>3472</v>
      </c>
      <c r="G295" s="969"/>
      <c r="H295" s="969"/>
      <c r="I295" s="940" t="s">
        <v>3472</v>
      </c>
    </row>
    <row r="296" spans="1:9" ht="30" customHeight="1" x14ac:dyDescent="0.2">
      <c r="A296" s="949">
        <v>256</v>
      </c>
      <c r="B296" s="950" t="s">
        <v>2492</v>
      </c>
      <c r="C296" s="956" t="s">
        <v>3520</v>
      </c>
      <c r="D296" s="942" t="s">
        <v>2650</v>
      </c>
      <c r="E296" s="978" t="s">
        <v>3494</v>
      </c>
      <c r="F296" s="969" t="s">
        <v>3472</v>
      </c>
      <c r="G296" s="969"/>
      <c r="H296" s="969"/>
      <c r="I296" s="940" t="s">
        <v>3472</v>
      </c>
    </row>
    <row r="297" spans="1:9" ht="30" customHeight="1" x14ac:dyDescent="0.2">
      <c r="A297" s="949">
        <v>257</v>
      </c>
      <c r="B297" s="950" t="s">
        <v>2430</v>
      </c>
      <c r="C297" s="956" t="s">
        <v>3520</v>
      </c>
      <c r="D297" s="942" t="s">
        <v>3495</v>
      </c>
      <c r="E297" s="978" t="s">
        <v>3496</v>
      </c>
      <c r="F297" s="969" t="s">
        <v>3472</v>
      </c>
      <c r="G297" s="969"/>
      <c r="H297" s="969"/>
      <c r="I297" s="940" t="s">
        <v>3472</v>
      </c>
    </row>
    <row r="298" spans="1:9" ht="30" customHeight="1" x14ac:dyDescent="0.2">
      <c r="A298" s="949">
        <v>258</v>
      </c>
      <c r="B298" s="950" t="s">
        <v>2498</v>
      </c>
      <c r="C298" s="956" t="s">
        <v>3520</v>
      </c>
      <c r="D298" s="942" t="s">
        <v>2499</v>
      </c>
      <c r="E298" s="978" t="s">
        <v>3497</v>
      </c>
      <c r="F298" s="969" t="s">
        <v>3469</v>
      </c>
      <c r="G298" s="969"/>
      <c r="H298" s="969"/>
      <c r="I298" s="940" t="s">
        <v>3469</v>
      </c>
    </row>
    <row r="299" spans="1:9" ht="30" customHeight="1" x14ac:dyDescent="0.2">
      <c r="A299" s="949">
        <v>259</v>
      </c>
      <c r="B299" s="950" t="s">
        <v>2538</v>
      </c>
      <c r="C299" s="956" t="s">
        <v>3520</v>
      </c>
      <c r="D299" s="942" t="s">
        <v>3498</v>
      </c>
      <c r="E299" s="978" t="s">
        <v>3499</v>
      </c>
      <c r="F299" s="969" t="s">
        <v>3418</v>
      </c>
      <c r="G299" s="969"/>
      <c r="H299" s="969"/>
      <c r="I299" s="940" t="s">
        <v>3418</v>
      </c>
    </row>
    <row r="300" spans="1:9" ht="30" customHeight="1" x14ac:dyDescent="0.25">
      <c r="A300" s="949">
        <v>260</v>
      </c>
      <c r="B300" s="976" t="s">
        <v>2428</v>
      </c>
      <c r="C300" s="957" t="s">
        <v>3520</v>
      </c>
      <c r="D300" s="942" t="s">
        <v>3500</v>
      </c>
      <c r="E300" s="978" t="s">
        <v>3501</v>
      </c>
      <c r="F300" s="969" t="s">
        <v>3502</v>
      </c>
      <c r="G300" s="969"/>
      <c r="H300" s="969" t="s">
        <v>3551</v>
      </c>
      <c r="I300" s="940" t="s">
        <v>3549</v>
      </c>
    </row>
    <row r="301" spans="1:9" ht="25.5" x14ac:dyDescent="0.25">
      <c r="A301" s="949">
        <v>261</v>
      </c>
      <c r="B301" s="976" t="s">
        <v>2418</v>
      </c>
      <c r="C301" s="957" t="s">
        <v>3520</v>
      </c>
      <c r="D301" s="942" t="s">
        <v>86</v>
      </c>
      <c r="E301" s="978" t="s">
        <v>3503</v>
      </c>
      <c r="F301" s="969" t="s">
        <v>3502</v>
      </c>
      <c r="G301" s="969"/>
      <c r="H301" s="969" t="s">
        <v>3551</v>
      </c>
      <c r="I301" s="940" t="s">
        <v>3549</v>
      </c>
    </row>
    <row r="302" spans="1:9" ht="25.5" x14ac:dyDescent="0.25">
      <c r="A302" s="949">
        <v>262</v>
      </c>
      <c r="B302" s="976" t="s">
        <v>2720</v>
      </c>
      <c r="C302" s="957" t="s">
        <v>3520</v>
      </c>
      <c r="D302" s="942" t="s">
        <v>3504</v>
      </c>
      <c r="E302" s="978" t="s">
        <v>3505</v>
      </c>
      <c r="F302" s="969" t="s">
        <v>3502</v>
      </c>
      <c r="G302" s="969"/>
      <c r="H302" s="969" t="s">
        <v>3551</v>
      </c>
      <c r="I302" s="940" t="s">
        <v>3549</v>
      </c>
    </row>
    <row r="303" spans="1:9" ht="25.5" x14ac:dyDescent="0.25">
      <c r="A303" s="949">
        <v>263</v>
      </c>
      <c r="B303" s="976" t="s">
        <v>2775</v>
      </c>
      <c r="C303" s="957" t="s">
        <v>3520</v>
      </c>
      <c r="D303" s="942" t="s">
        <v>3506</v>
      </c>
      <c r="E303" s="978" t="s">
        <v>3507</v>
      </c>
      <c r="F303" s="969" t="s">
        <v>3502</v>
      </c>
      <c r="G303" s="969"/>
      <c r="H303" s="969" t="s">
        <v>3551</v>
      </c>
      <c r="I303" s="940" t="s">
        <v>3549</v>
      </c>
    </row>
    <row r="304" spans="1:9" ht="25.5" x14ac:dyDescent="0.25">
      <c r="A304" s="949">
        <v>264</v>
      </c>
      <c r="B304" s="976" t="s">
        <v>2785</v>
      </c>
      <c r="C304" s="957" t="s">
        <v>3520</v>
      </c>
      <c r="D304" s="942" t="s">
        <v>3508</v>
      </c>
      <c r="E304" s="978" t="s">
        <v>3509</v>
      </c>
      <c r="F304" s="969" t="s">
        <v>3502</v>
      </c>
      <c r="G304" s="969"/>
      <c r="H304" s="969" t="s">
        <v>3551</v>
      </c>
      <c r="I304" s="940" t="s">
        <v>3549</v>
      </c>
    </row>
    <row r="305" spans="1:9" ht="25.5" x14ac:dyDescent="0.25">
      <c r="A305" s="949">
        <v>266</v>
      </c>
      <c r="B305" s="976" t="s">
        <v>2484</v>
      </c>
      <c r="C305" s="957" t="s">
        <v>3520</v>
      </c>
      <c r="D305" s="942" t="s">
        <v>22</v>
      </c>
      <c r="E305" s="978" t="s">
        <v>3512</v>
      </c>
      <c r="F305" s="969" t="s">
        <v>3337</v>
      </c>
      <c r="G305" s="969"/>
      <c r="H305" s="969" t="s">
        <v>3555</v>
      </c>
      <c r="I305" s="940" t="s">
        <v>3337</v>
      </c>
    </row>
    <row r="306" spans="1:9" x14ac:dyDescent="0.2">
      <c r="A306" s="949">
        <v>271</v>
      </c>
      <c r="B306" s="966" t="s">
        <v>1538</v>
      </c>
      <c r="C306" s="956" t="s">
        <v>3520</v>
      </c>
      <c r="D306" s="942" t="s">
        <v>3518</v>
      </c>
      <c r="E306" s="940" t="s">
        <v>1088</v>
      </c>
      <c r="F306" s="969"/>
      <c r="G306" s="969"/>
      <c r="H306" s="969"/>
      <c r="I306" s="940"/>
    </row>
    <row r="307" spans="1:9" x14ac:dyDescent="0.2">
      <c r="A307" s="949">
        <v>272</v>
      </c>
      <c r="B307" s="967" t="s">
        <v>305</v>
      </c>
      <c r="C307" s="956" t="s">
        <v>3520</v>
      </c>
      <c r="D307" s="942" t="s">
        <v>3519</v>
      </c>
      <c r="E307" s="940"/>
      <c r="F307" s="969"/>
      <c r="G307" s="969"/>
      <c r="H307" s="969"/>
      <c r="I307" s="940"/>
    </row>
    <row r="308" spans="1:9" x14ac:dyDescent="0.2">
      <c r="A308" s="949">
        <v>273</v>
      </c>
      <c r="B308" s="967" t="s">
        <v>299</v>
      </c>
      <c r="C308" s="956" t="s">
        <v>3520</v>
      </c>
      <c r="D308" s="951" t="s">
        <v>1049</v>
      </c>
      <c r="E308" s="940"/>
      <c r="F308" s="969"/>
      <c r="G308" s="969"/>
      <c r="H308" s="969"/>
      <c r="I308" s="940"/>
    </row>
    <row r="309" spans="1:9" x14ac:dyDescent="0.2">
      <c r="A309" s="949">
        <v>274</v>
      </c>
      <c r="B309" s="966" t="s">
        <v>304</v>
      </c>
      <c r="C309" s="956" t="s">
        <v>3520</v>
      </c>
      <c r="D309" s="951" t="s">
        <v>1006</v>
      </c>
      <c r="E309" s="940"/>
      <c r="F309" s="969"/>
      <c r="G309" s="969"/>
      <c r="H309" s="969"/>
      <c r="I309" s="940"/>
    </row>
    <row r="310" spans="1:9" x14ac:dyDescent="0.2">
      <c r="A310" s="949">
        <v>275</v>
      </c>
      <c r="B310" s="952" t="s">
        <v>127</v>
      </c>
      <c r="C310" s="956" t="s">
        <v>3520</v>
      </c>
      <c r="D310" s="953" t="s">
        <v>128</v>
      </c>
      <c r="E310" s="940"/>
      <c r="F310" s="969"/>
      <c r="G310" s="969"/>
      <c r="H310" s="969"/>
      <c r="I310" s="940"/>
    </row>
    <row r="311" spans="1:9" x14ac:dyDescent="0.2">
      <c r="A311" s="949">
        <v>276</v>
      </c>
      <c r="B311" s="952" t="s">
        <v>35</v>
      </c>
      <c r="C311" s="956" t="s">
        <v>3520</v>
      </c>
      <c r="D311" s="953" t="s">
        <v>36</v>
      </c>
      <c r="E311" s="940"/>
      <c r="F311" s="969"/>
      <c r="G311" s="969"/>
      <c r="H311" s="969"/>
      <c r="I311" s="940"/>
    </row>
    <row r="312" spans="1:9" ht="25.5" x14ac:dyDescent="0.2">
      <c r="A312" s="949">
        <v>277</v>
      </c>
      <c r="B312" s="952" t="s">
        <v>47</v>
      </c>
      <c r="C312" s="956" t="s">
        <v>3520</v>
      </c>
      <c r="D312" s="953" t="s">
        <v>48</v>
      </c>
      <c r="E312" s="940"/>
      <c r="F312" s="969"/>
      <c r="G312" s="969"/>
      <c r="H312" s="969"/>
      <c r="I312" s="940"/>
    </row>
    <row r="313" spans="1:9" x14ac:dyDescent="0.2">
      <c r="A313" s="949">
        <v>278</v>
      </c>
      <c r="B313" s="952" t="s">
        <v>42</v>
      </c>
      <c r="C313" s="956" t="s">
        <v>3520</v>
      </c>
      <c r="D313" s="953" t="s">
        <v>43</v>
      </c>
      <c r="E313" s="940"/>
      <c r="F313" s="969"/>
      <c r="G313" s="969"/>
      <c r="H313" s="969"/>
      <c r="I313" s="940"/>
    </row>
    <row r="314" spans="1:9" ht="25.5" x14ac:dyDescent="0.2">
      <c r="A314" s="949">
        <v>279</v>
      </c>
      <c r="B314" s="952" t="s">
        <v>67</v>
      </c>
      <c r="C314" s="956" t="s">
        <v>3520</v>
      </c>
      <c r="D314" s="951" t="s">
        <v>68</v>
      </c>
      <c r="E314" s="940"/>
      <c r="F314" s="969"/>
      <c r="G314" s="969"/>
      <c r="H314" s="969"/>
      <c r="I314" s="940"/>
    </row>
    <row r="315" spans="1:9" ht="25.5" x14ac:dyDescent="0.2">
      <c r="A315" s="949">
        <v>280</v>
      </c>
      <c r="B315" s="952" t="s">
        <v>71</v>
      </c>
      <c r="C315" s="956" t="s">
        <v>3520</v>
      </c>
      <c r="D315" s="953" t="s">
        <v>1029</v>
      </c>
      <c r="E315" s="940"/>
      <c r="F315" s="969"/>
      <c r="G315" s="969"/>
      <c r="H315" s="969"/>
      <c r="I315" s="940"/>
    </row>
    <row r="316" spans="1:9" x14ac:dyDescent="0.2">
      <c r="A316" s="949">
        <v>281</v>
      </c>
      <c r="B316" s="952" t="s">
        <v>399</v>
      </c>
      <c r="C316" s="956" t="s">
        <v>3520</v>
      </c>
      <c r="D316" s="951" t="s">
        <v>424</v>
      </c>
      <c r="E316" s="940"/>
      <c r="F316" s="969"/>
      <c r="G316" s="969"/>
      <c r="H316" s="969"/>
      <c r="I316" s="940"/>
    </row>
    <row r="317" spans="1:9" ht="25.5" x14ac:dyDescent="0.25">
      <c r="A317" s="949">
        <v>282</v>
      </c>
      <c r="B317" s="986" t="s">
        <v>2080</v>
      </c>
      <c r="C317" s="942" t="s">
        <v>3520</v>
      </c>
      <c r="D317" s="942" t="s">
        <v>3539</v>
      </c>
      <c r="E317" s="940" t="s">
        <v>3540</v>
      </c>
      <c r="F317" s="969" t="s">
        <v>3541</v>
      </c>
      <c r="G317" s="969"/>
      <c r="H317" s="969"/>
      <c r="I317" s="940" t="s">
        <v>3548</v>
      </c>
    </row>
    <row r="318" spans="1:9" x14ac:dyDescent="0.2">
      <c r="A318" s="949">
        <v>283</v>
      </c>
      <c r="B318" s="967" t="s">
        <v>262</v>
      </c>
      <c r="C318" s="942" t="s">
        <v>3520</v>
      </c>
      <c r="D318" s="942" t="s">
        <v>3542</v>
      </c>
      <c r="E318" s="940"/>
      <c r="F318" s="969"/>
      <c r="G318" s="969"/>
      <c r="H318" s="969"/>
      <c r="I318" s="940"/>
    </row>
    <row r="319" spans="1:9" x14ac:dyDescent="0.2">
      <c r="A319" s="949">
        <v>284</v>
      </c>
      <c r="B319" s="967" t="s">
        <v>282</v>
      </c>
      <c r="C319" s="942" t="s">
        <v>3520</v>
      </c>
      <c r="D319" s="942" t="s">
        <v>3192</v>
      </c>
      <c r="E319" s="940"/>
      <c r="F319" s="969"/>
      <c r="G319" s="969"/>
      <c r="H319" s="969"/>
      <c r="I319" s="940"/>
    </row>
    <row r="320" spans="1:9" x14ac:dyDescent="0.2">
      <c r="A320" s="949">
        <v>285</v>
      </c>
      <c r="B320" s="967" t="s">
        <v>1159</v>
      </c>
      <c r="C320" s="942" t="s">
        <v>3520</v>
      </c>
      <c r="D320" s="942" t="s">
        <v>22</v>
      </c>
      <c r="E320" s="940"/>
      <c r="F320" s="969"/>
      <c r="G320" s="969"/>
      <c r="H320" s="969"/>
      <c r="I320" s="940"/>
    </row>
    <row r="321" spans="1:9" x14ac:dyDescent="0.2">
      <c r="A321" s="949">
        <v>286</v>
      </c>
      <c r="B321" s="967" t="s">
        <v>1114</v>
      </c>
      <c r="C321" s="942" t="s">
        <v>3520</v>
      </c>
      <c r="D321" s="942" t="s">
        <v>3543</v>
      </c>
      <c r="E321" s="940"/>
      <c r="F321" s="969"/>
      <c r="G321" s="969"/>
      <c r="H321" s="969"/>
      <c r="I321" s="940"/>
    </row>
    <row r="322" spans="1:9" x14ac:dyDescent="0.2">
      <c r="A322" s="949">
        <v>287</v>
      </c>
      <c r="B322" s="967" t="s">
        <v>1864</v>
      </c>
      <c r="C322" s="942" t="s">
        <v>3520</v>
      </c>
      <c r="D322" s="942" t="s">
        <v>3544</v>
      </c>
      <c r="E322" s="940"/>
      <c r="F322" s="969"/>
      <c r="G322" s="969"/>
      <c r="H322" s="969"/>
      <c r="I322" s="940"/>
    </row>
    <row r="323" spans="1:9" x14ac:dyDescent="0.2">
      <c r="A323" s="949">
        <v>288</v>
      </c>
      <c r="B323" s="967" t="s">
        <v>2026</v>
      </c>
      <c r="C323" s="942" t="s">
        <v>3520</v>
      </c>
      <c r="D323" s="942" t="s">
        <v>3545</v>
      </c>
      <c r="E323" s="940"/>
      <c r="F323" s="969"/>
      <c r="G323" s="969"/>
      <c r="H323" s="969"/>
      <c r="I323" s="940"/>
    </row>
    <row r="324" spans="1:9" ht="25.5" x14ac:dyDescent="0.25">
      <c r="A324" s="949">
        <v>289</v>
      </c>
      <c r="B324" s="986" t="s">
        <v>2030</v>
      </c>
      <c r="C324" s="942" t="s">
        <v>3520</v>
      </c>
      <c r="D324" s="942" t="s">
        <v>2031</v>
      </c>
      <c r="E324" s="940"/>
      <c r="F324" s="969"/>
      <c r="G324" s="954" t="s">
        <v>3551</v>
      </c>
      <c r="H324" s="969"/>
      <c r="I324" s="955" t="s">
        <v>3549</v>
      </c>
    </row>
    <row r="325" spans="1:9" ht="25.5" x14ac:dyDescent="0.25">
      <c r="A325" s="949">
        <v>290</v>
      </c>
      <c r="B325" s="986" t="s">
        <v>2451</v>
      </c>
      <c r="C325" s="942" t="s">
        <v>3520</v>
      </c>
      <c r="D325" s="942" t="s">
        <v>15</v>
      </c>
      <c r="E325" s="940"/>
      <c r="F325" s="969"/>
      <c r="G325" s="954" t="s">
        <v>3556</v>
      </c>
      <c r="H325" s="969"/>
      <c r="I325" s="955" t="s">
        <v>3549</v>
      </c>
    </row>
    <row r="326" spans="1:9" ht="15" x14ac:dyDescent="0.2">
      <c r="A326" s="981">
        <v>331</v>
      </c>
      <c r="B326" s="983" t="s">
        <v>197</v>
      </c>
      <c r="C326" s="980" t="s">
        <v>3520</v>
      </c>
      <c r="D326" s="980" t="s">
        <v>198</v>
      </c>
      <c r="E326" s="981"/>
      <c r="F326" s="982"/>
      <c r="G326" s="982"/>
      <c r="H326" s="982"/>
      <c r="I326" s="981"/>
    </row>
    <row r="327" spans="1:9" ht="15" x14ac:dyDescent="0.2">
      <c r="A327" s="981">
        <v>331</v>
      </c>
      <c r="B327" s="983" t="s">
        <v>80</v>
      </c>
      <c r="C327" s="980" t="s">
        <v>3520</v>
      </c>
      <c r="D327" s="980" t="s">
        <v>3587</v>
      </c>
      <c r="E327" s="981"/>
      <c r="F327" s="982"/>
      <c r="G327" s="982"/>
      <c r="H327" s="982"/>
      <c r="I327" s="981"/>
    </row>
    <row r="328" spans="1:9" ht="25.5" x14ac:dyDescent="0.2">
      <c r="A328" s="981">
        <v>332</v>
      </c>
      <c r="B328" s="983" t="s">
        <v>151</v>
      </c>
      <c r="C328" s="980" t="s">
        <v>3520</v>
      </c>
      <c r="D328" s="984" t="s">
        <v>152</v>
      </c>
      <c r="E328" s="981"/>
      <c r="F328" s="982"/>
      <c r="G328" s="982"/>
      <c r="H328" s="982"/>
      <c r="I328" s="981"/>
    </row>
    <row r="329" spans="1:9" ht="15" x14ac:dyDescent="0.2">
      <c r="A329" s="981">
        <v>333</v>
      </c>
      <c r="B329" s="983" t="s">
        <v>87</v>
      </c>
      <c r="C329" s="980" t="s">
        <v>3520</v>
      </c>
      <c r="D329" s="980" t="s">
        <v>435</v>
      </c>
      <c r="E329" s="981"/>
      <c r="F329" s="982"/>
      <c r="G329" s="982"/>
      <c r="H329" s="982"/>
      <c r="I329" s="981"/>
    </row>
    <row r="330" spans="1:9" ht="15" x14ac:dyDescent="0.2">
      <c r="A330" s="981">
        <v>334</v>
      </c>
      <c r="B330" s="983" t="s">
        <v>95</v>
      </c>
      <c r="C330" s="980" t="s">
        <v>3520</v>
      </c>
      <c r="D330" s="980" t="s">
        <v>41</v>
      </c>
      <c r="E330" s="981"/>
      <c r="F330" s="982"/>
      <c r="G330" s="982"/>
      <c r="H330" s="982"/>
      <c r="I330" s="981"/>
    </row>
    <row r="331" spans="1:9" ht="15" x14ac:dyDescent="0.2">
      <c r="A331" s="981">
        <v>335</v>
      </c>
      <c r="B331" s="983" t="s">
        <v>121</v>
      </c>
      <c r="C331" s="980" t="s">
        <v>3520</v>
      </c>
      <c r="D331" s="980" t="s">
        <v>15</v>
      </c>
      <c r="E331" s="981"/>
      <c r="F331" s="982"/>
      <c r="G331" s="982"/>
      <c r="H331" s="982"/>
      <c r="I331" s="981"/>
    </row>
    <row r="332" spans="1:9" ht="15" x14ac:dyDescent="0.2">
      <c r="A332" s="981">
        <v>336</v>
      </c>
      <c r="B332" s="983" t="s">
        <v>123</v>
      </c>
      <c r="C332" s="980" t="s">
        <v>3520</v>
      </c>
      <c r="D332" s="980" t="s">
        <v>124</v>
      </c>
      <c r="E332" s="981"/>
      <c r="F332" s="982"/>
      <c r="G332" s="982"/>
      <c r="H332" s="982"/>
      <c r="I332" s="981"/>
    </row>
    <row r="333" spans="1:9" ht="15" x14ac:dyDescent="0.2">
      <c r="A333" s="981">
        <v>337</v>
      </c>
      <c r="B333" s="983" t="s">
        <v>202</v>
      </c>
      <c r="C333" s="980" t="s">
        <v>3520</v>
      </c>
      <c r="D333" s="980" t="s">
        <v>3588</v>
      </c>
      <c r="E333" s="981"/>
      <c r="F333" s="982"/>
      <c r="G333" s="982"/>
      <c r="H333" s="982"/>
      <c r="I333" s="981"/>
    </row>
    <row r="334" spans="1:9" ht="15" x14ac:dyDescent="0.2">
      <c r="A334" s="981">
        <v>338</v>
      </c>
      <c r="B334" s="983" t="s">
        <v>141</v>
      </c>
      <c r="C334" s="980" t="s">
        <v>3520</v>
      </c>
      <c r="D334" s="980" t="s">
        <v>142</v>
      </c>
      <c r="E334" s="981"/>
      <c r="F334" s="982"/>
      <c r="G334" s="982"/>
      <c r="H334" s="982"/>
      <c r="I334" s="981"/>
    </row>
    <row r="335" spans="1:9" ht="15" x14ac:dyDescent="0.2">
      <c r="A335" s="981">
        <v>339</v>
      </c>
      <c r="B335" s="983" t="s">
        <v>143</v>
      </c>
      <c r="C335" s="980" t="s">
        <v>3520</v>
      </c>
      <c r="D335" s="980" t="s">
        <v>144</v>
      </c>
      <c r="E335" s="981"/>
      <c r="F335" s="982"/>
      <c r="G335" s="982"/>
      <c r="H335" s="982"/>
      <c r="I335" s="981"/>
    </row>
    <row r="336" spans="1:9" ht="15" x14ac:dyDescent="0.2">
      <c r="A336" s="981">
        <v>340</v>
      </c>
      <c r="B336" s="983" t="s">
        <v>159</v>
      </c>
      <c r="C336" s="980" t="s">
        <v>3520</v>
      </c>
      <c r="D336" s="980" t="s">
        <v>160</v>
      </c>
      <c r="E336" s="981"/>
      <c r="F336" s="982"/>
      <c r="G336" s="982"/>
      <c r="H336" s="982"/>
      <c r="I336" s="981"/>
    </row>
    <row r="337" spans="1:9" ht="15" x14ac:dyDescent="0.2">
      <c r="A337" s="981">
        <v>341</v>
      </c>
      <c r="B337" s="983" t="s">
        <v>166</v>
      </c>
      <c r="C337" s="980" t="s">
        <v>3520</v>
      </c>
      <c r="D337" s="980" t="s">
        <v>1025</v>
      </c>
      <c r="E337" s="981"/>
      <c r="F337" s="982"/>
      <c r="G337" s="982"/>
      <c r="H337" s="982"/>
      <c r="I337" s="981"/>
    </row>
    <row r="338" spans="1:9" ht="15" x14ac:dyDescent="0.2">
      <c r="A338" s="981">
        <v>342</v>
      </c>
      <c r="B338" s="983" t="s">
        <v>173</v>
      </c>
      <c r="C338" s="980" t="s">
        <v>3520</v>
      </c>
      <c r="D338" s="980" t="s">
        <v>174</v>
      </c>
      <c r="E338" s="981"/>
      <c r="F338" s="982"/>
      <c r="G338" s="982"/>
      <c r="H338" s="982"/>
      <c r="I338" s="981"/>
    </row>
    <row r="339" spans="1:9" ht="25.5" x14ac:dyDescent="0.2">
      <c r="A339" s="981">
        <v>343</v>
      </c>
      <c r="B339" s="983" t="s">
        <v>199</v>
      </c>
      <c r="C339" s="980" t="s">
        <v>3520</v>
      </c>
      <c r="D339" s="984" t="s">
        <v>1038</v>
      </c>
      <c r="E339" s="981"/>
      <c r="F339" s="982"/>
      <c r="G339" s="982"/>
      <c r="H339" s="982"/>
      <c r="I339" s="981"/>
    </row>
    <row r="340" spans="1:9" ht="15" x14ac:dyDescent="0.2">
      <c r="A340" s="981">
        <v>344</v>
      </c>
      <c r="B340" s="983" t="s">
        <v>200</v>
      </c>
      <c r="C340" s="980" t="s">
        <v>3520</v>
      </c>
      <c r="D340" s="980" t="s">
        <v>201</v>
      </c>
      <c r="E340" s="981"/>
      <c r="F340" s="982"/>
      <c r="G340" s="982"/>
      <c r="H340" s="982"/>
      <c r="I340" s="981"/>
    </row>
    <row r="341" spans="1:9" ht="25.5" x14ac:dyDescent="0.2">
      <c r="A341" s="981">
        <v>345</v>
      </c>
      <c r="B341" s="983" t="s">
        <v>204</v>
      </c>
      <c r="C341" s="980" t="s">
        <v>3520</v>
      </c>
      <c r="D341" s="985" t="s">
        <v>205</v>
      </c>
      <c r="E341" s="981"/>
      <c r="F341" s="982"/>
      <c r="G341" s="982"/>
      <c r="H341" s="982"/>
      <c r="I341" s="981"/>
    </row>
    <row r="342" spans="1:9" ht="15" x14ac:dyDescent="0.2">
      <c r="A342" s="981">
        <v>346</v>
      </c>
      <c r="B342" s="983" t="s">
        <v>234</v>
      </c>
      <c r="C342" s="980" t="s">
        <v>3520</v>
      </c>
      <c r="D342" s="980" t="s">
        <v>235</v>
      </c>
      <c r="E342" s="981"/>
      <c r="F342" s="982"/>
      <c r="G342" s="982"/>
      <c r="H342" s="982"/>
      <c r="I342" s="981"/>
    </row>
    <row r="343" spans="1:9" ht="25.5" x14ac:dyDescent="0.2">
      <c r="A343" s="981">
        <v>347</v>
      </c>
      <c r="B343" s="983" t="s">
        <v>231</v>
      </c>
      <c r="C343" s="980" t="s">
        <v>3520</v>
      </c>
      <c r="D343" s="985" t="s">
        <v>1042</v>
      </c>
      <c r="E343" s="981"/>
      <c r="F343" s="982"/>
      <c r="G343" s="982"/>
      <c r="H343" s="982"/>
      <c r="I343" s="981"/>
    </row>
    <row r="344" spans="1:9" ht="15" x14ac:dyDescent="0.2">
      <c r="A344" s="981">
        <v>348</v>
      </c>
      <c r="B344" s="983" t="s">
        <v>237</v>
      </c>
      <c r="C344" s="980" t="s">
        <v>3520</v>
      </c>
      <c r="D344" s="980" t="s">
        <v>186</v>
      </c>
      <c r="E344" s="981"/>
      <c r="F344" s="982"/>
      <c r="G344" s="982"/>
      <c r="H344" s="982"/>
      <c r="I344" s="981"/>
    </row>
    <row r="345" spans="1:9" ht="25.5" x14ac:dyDescent="0.2">
      <c r="A345" s="981">
        <v>349</v>
      </c>
      <c r="B345" s="983" t="s">
        <v>270</v>
      </c>
      <c r="C345" s="980" t="s">
        <v>3520</v>
      </c>
      <c r="D345" s="984" t="s">
        <v>1031</v>
      </c>
      <c r="E345" s="981"/>
      <c r="F345" s="982"/>
      <c r="G345" s="982"/>
      <c r="H345" s="982"/>
      <c r="I345" s="981"/>
    </row>
    <row r="346" spans="1:9" ht="15" x14ac:dyDescent="0.2">
      <c r="A346" s="981">
        <v>350</v>
      </c>
      <c r="B346" s="983" t="s">
        <v>253</v>
      </c>
      <c r="C346" s="980" t="s">
        <v>3520</v>
      </c>
      <c r="D346" s="980" t="s">
        <v>140</v>
      </c>
      <c r="E346" s="981"/>
      <c r="F346" s="982"/>
      <c r="G346" s="982"/>
      <c r="H346" s="982"/>
      <c r="I346" s="981"/>
    </row>
    <row r="347" spans="1:9" ht="15" x14ac:dyDescent="0.2">
      <c r="A347" s="981">
        <v>351</v>
      </c>
      <c r="B347" s="983" t="s">
        <v>260</v>
      </c>
      <c r="C347" s="980" t="s">
        <v>3520</v>
      </c>
      <c r="D347" s="980" t="s">
        <v>261</v>
      </c>
      <c r="E347" s="981"/>
      <c r="F347" s="982"/>
      <c r="G347" s="982"/>
      <c r="H347" s="982"/>
      <c r="I347" s="981"/>
    </row>
    <row r="348" spans="1:9" ht="15" x14ac:dyDescent="0.2">
      <c r="A348" s="981">
        <v>352</v>
      </c>
      <c r="B348" s="983" t="s">
        <v>296</v>
      </c>
      <c r="C348" s="980" t="s">
        <v>3520</v>
      </c>
      <c r="D348" s="980" t="s">
        <v>1039</v>
      </c>
      <c r="E348" s="981"/>
      <c r="F348" s="982"/>
      <c r="G348" s="982"/>
      <c r="H348" s="982"/>
      <c r="I348" s="981"/>
    </row>
    <row r="349" spans="1:9" ht="15" x14ac:dyDescent="0.2">
      <c r="A349" s="981">
        <v>353</v>
      </c>
      <c r="B349" s="983" t="s">
        <v>308</v>
      </c>
      <c r="C349" s="980" t="s">
        <v>3520</v>
      </c>
      <c r="D349" s="980" t="s">
        <v>1050</v>
      </c>
      <c r="E349" s="981"/>
      <c r="F349" s="982"/>
      <c r="G349" s="982"/>
      <c r="H349" s="982"/>
      <c r="I349" s="981"/>
    </row>
    <row r="350" spans="1:9" ht="15" x14ac:dyDescent="0.2">
      <c r="A350" s="981">
        <v>354</v>
      </c>
      <c r="B350" s="983" t="s">
        <v>1332</v>
      </c>
      <c r="C350" s="980" t="s">
        <v>3520</v>
      </c>
      <c r="D350" s="980" t="s">
        <v>212</v>
      </c>
      <c r="E350" s="981"/>
      <c r="F350" s="982"/>
      <c r="G350" s="982"/>
      <c r="H350" s="982"/>
      <c r="I350" s="981"/>
    </row>
    <row r="351" spans="1:9" ht="15" x14ac:dyDescent="0.2">
      <c r="A351" s="981">
        <v>355</v>
      </c>
      <c r="B351" s="983" t="s">
        <v>65</v>
      </c>
      <c r="C351" s="980" t="s">
        <v>3520</v>
      </c>
      <c r="D351" s="980" t="s">
        <v>66</v>
      </c>
      <c r="E351" s="981"/>
      <c r="F351" s="982"/>
      <c r="G351" s="982"/>
      <c r="H351" s="982"/>
      <c r="I351" s="981"/>
    </row>
    <row r="352" spans="1:9" ht="15" x14ac:dyDescent="0.2">
      <c r="A352" s="981">
        <v>356</v>
      </c>
      <c r="B352" s="983" t="s">
        <v>156</v>
      </c>
      <c r="C352" s="980" t="s">
        <v>3520</v>
      </c>
      <c r="D352" s="980" t="s">
        <v>53</v>
      </c>
      <c r="E352" s="981"/>
      <c r="F352" s="982"/>
      <c r="G352" s="982"/>
      <c r="H352" s="982"/>
      <c r="I352" s="981"/>
    </row>
    <row r="353" spans="1:9" ht="15" x14ac:dyDescent="0.2">
      <c r="A353" s="981">
        <v>357</v>
      </c>
      <c r="B353" s="983" t="s">
        <v>215</v>
      </c>
      <c r="C353" s="980" t="s">
        <v>3520</v>
      </c>
      <c r="D353" s="980" t="s">
        <v>1599</v>
      </c>
      <c r="E353" s="981"/>
      <c r="F353" s="982"/>
      <c r="G353" s="982"/>
      <c r="H353" s="982"/>
      <c r="I353" s="981"/>
    </row>
    <row r="354" spans="1:9" ht="38.25" x14ac:dyDescent="0.2">
      <c r="A354" s="981">
        <v>358</v>
      </c>
      <c r="B354" s="983" t="s">
        <v>63</v>
      </c>
      <c r="C354" s="980" t="s">
        <v>3520</v>
      </c>
      <c r="D354" s="984" t="s">
        <v>64</v>
      </c>
      <c r="E354" s="981"/>
      <c r="F354" s="982"/>
      <c r="G354" s="982"/>
      <c r="H354" s="982"/>
      <c r="I354" s="981"/>
    </row>
    <row r="355" spans="1:9" ht="15" x14ac:dyDescent="0.2">
      <c r="A355" s="981">
        <v>359</v>
      </c>
      <c r="B355" s="983" t="s">
        <v>405</v>
      </c>
      <c r="C355" s="980" t="s">
        <v>3520</v>
      </c>
      <c r="D355" s="980" t="s">
        <v>238</v>
      </c>
      <c r="E355" s="981"/>
      <c r="F355" s="982"/>
      <c r="G355" s="982"/>
      <c r="H355" s="982"/>
      <c r="I355" s="981"/>
    </row>
    <row r="356" spans="1:9" ht="15" x14ac:dyDescent="0.2">
      <c r="A356" s="981">
        <v>360</v>
      </c>
      <c r="B356" s="983" t="s">
        <v>255</v>
      </c>
      <c r="C356" s="980" t="s">
        <v>3520</v>
      </c>
      <c r="D356" s="980" t="s">
        <v>1032</v>
      </c>
      <c r="E356" s="981"/>
      <c r="F356" s="982"/>
      <c r="G356" s="982"/>
      <c r="H356" s="982"/>
      <c r="I356" s="981"/>
    </row>
    <row r="357" spans="1:9" ht="15" x14ac:dyDescent="0.2">
      <c r="A357" s="981">
        <v>361</v>
      </c>
      <c r="B357" s="983" t="s">
        <v>7</v>
      </c>
      <c r="C357" s="980" t="s">
        <v>3520</v>
      </c>
      <c r="D357" s="980" t="s">
        <v>8</v>
      </c>
      <c r="E357" s="981"/>
      <c r="F357" s="982"/>
      <c r="G357" s="982"/>
      <c r="H357" s="982"/>
      <c r="I357" s="981"/>
    </row>
    <row r="358" spans="1:9" ht="15" x14ac:dyDescent="0.2">
      <c r="A358" s="981">
        <v>362</v>
      </c>
      <c r="B358" s="983" t="s">
        <v>230</v>
      </c>
      <c r="C358" s="980" t="s">
        <v>3520</v>
      </c>
      <c r="D358" s="980" t="s">
        <v>1045</v>
      </c>
      <c r="E358" s="981"/>
      <c r="F358" s="982"/>
      <c r="G358" s="982"/>
      <c r="H358" s="982"/>
      <c r="I358" s="981"/>
    </row>
    <row r="359" spans="1:9" ht="15" x14ac:dyDescent="0.2">
      <c r="A359" s="981">
        <v>363</v>
      </c>
      <c r="B359" s="983" t="s">
        <v>254</v>
      </c>
      <c r="C359" s="980" t="s">
        <v>3520</v>
      </c>
      <c r="D359" s="980" t="s">
        <v>1033</v>
      </c>
      <c r="E359" s="981"/>
      <c r="F359" s="982"/>
      <c r="G359" s="982"/>
      <c r="H359" s="982"/>
      <c r="I359" s="981"/>
    </row>
    <row r="360" spans="1:9" ht="15" x14ac:dyDescent="0.2">
      <c r="A360" s="981">
        <v>364</v>
      </c>
      <c r="B360" s="983" t="s">
        <v>555</v>
      </c>
      <c r="C360" s="980" t="s">
        <v>3520</v>
      </c>
      <c r="D360" s="980" t="s">
        <v>1067</v>
      </c>
      <c r="E360" s="981"/>
      <c r="F360" s="982"/>
      <c r="G360" s="982"/>
      <c r="H360" s="982"/>
      <c r="I360" s="981"/>
    </row>
    <row r="361" spans="1:9" ht="15" x14ac:dyDescent="0.2">
      <c r="A361" s="981">
        <v>365</v>
      </c>
      <c r="B361" s="983" t="s">
        <v>138</v>
      </c>
      <c r="C361" s="980" t="s">
        <v>3520</v>
      </c>
      <c r="D361" s="980" t="s">
        <v>1034</v>
      </c>
      <c r="E361" s="981"/>
      <c r="F361" s="982"/>
      <c r="G361" s="982"/>
      <c r="H361" s="982"/>
      <c r="I361" s="981"/>
    </row>
    <row r="362" spans="1:9" ht="15" x14ac:dyDescent="0.2">
      <c r="A362" s="981">
        <v>366</v>
      </c>
      <c r="B362" s="983" t="s">
        <v>221</v>
      </c>
      <c r="C362" s="980" t="s">
        <v>3520</v>
      </c>
      <c r="D362" s="980" t="s">
        <v>222</v>
      </c>
      <c r="E362" s="981"/>
      <c r="F362" s="982"/>
      <c r="G362" s="982"/>
      <c r="H362" s="982"/>
      <c r="I362" s="981"/>
    </row>
    <row r="363" spans="1:9" ht="15" x14ac:dyDescent="0.2">
      <c r="A363" s="981">
        <v>367</v>
      </c>
      <c r="B363" s="983" t="s">
        <v>4</v>
      </c>
      <c r="C363" s="980" t="s">
        <v>3520</v>
      </c>
      <c r="D363" s="980" t="s">
        <v>1028</v>
      </c>
      <c r="E363" s="981"/>
      <c r="F363" s="982"/>
      <c r="G363" s="982"/>
      <c r="H363" s="982"/>
      <c r="I363" s="981"/>
    </row>
    <row r="364" spans="1:9" ht="15" x14ac:dyDescent="0.2">
      <c r="A364" s="981">
        <v>368</v>
      </c>
      <c r="B364" s="983" t="s">
        <v>177</v>
      </c>
      <c r="C364" s="980" t="s">
        <v>3520</v>
      </c>
      <c r="D364" s="980" t="s">
        <v>1039</v>
      </c>
      <c r="E364" s="981"/>
      <c r="F364" s="982"/>
      <c r="G364" s="982"/>
      <c r="H364" s="982"/>
      <c r="I364" s="981"/>
    </row>
    <row r="365" spans="1:9" ht="15" x14ac:dyDescent="0.2">
      <c r="A365" s="981">
        <v>369</v>
      </c>
      <c r="B365" s="983" t="s">
        <v>193</v>
      </c>
      <c r="C365" s="980" t="s">
        <v>3520</v>
      </c>
      <c r="D365" s="980" t="s">
        <v>194</v>
      </c>
      <c r="E365" s="981"/>
      <c r="F365" s="982"/>
      <c r="G365" s="982"/>
      <c r="H365" s="982"/>
      <c r="I365" s="981"/>
    </row>
    <row r="366" spans="1:9" ht="25.5" x14ac:dyDescent="0.2">
      <c r="A366" s="981">
        <v>370</v>
      </c>
      <c r="B366" s="983" t="s">
        <v>88</v>
      </c>
      <c r="C366" s="980" t="s">
        <v>3520</v>
      </c>
      <c r="D366" s="984" t="s">
        <v>1031</v>
      </c>
      <c r="E366" s="981"/>
      <c r="F366" s="982"/>
      <c r="G366" s="982"/>
      <c r="H366" s="982"/>
      <c r="I366" s="981"/>
    </row>
    <row r="367" spans="1:9" ht="15" x14ac:dyDescent="0.2">
      <c r="A367" s="981">
        <v>371</v>
      </c>
      <c r="B367" s="983" t="s">
        <v>97</v>
      </c>
      <c r="C367" s="980" t="s">
        <v>3520</v>
      </c>
      <c r="D367" s="980" t="s">
        <v>98</v>
      </c>
      <c r="E367" s="981"/>
      <c r="F367" s="982"/>
      <c r="G367" s="982"/>
      <c r="H367" s="982"/>
      <c r="I367" s="981"/>
    </row>
    <row r="368" spans="1:9" ht="15" x14ac:dyDescent="0.2">
      <c r="A368" s="981">
        <v>372</v>
      </c>
      <c r="B368" s="983" t="s">
        <v>89</v>
      </c>
      <c r="C368" s="980" t="s">
        <v>3520</v>
      </c>
      <c r="D368" s="980" t="s">
        <v>90</v>
      </c>
      <c r="E368" s="981"/>
      <c r="F368" s="982"/>
      <c r="G368" s="982"/>
      <c r="H368" s="982"/>
      <c r="I368" s="981"/>
    </row>
    <row r="369" spans="1:9" ht="25.5" x14ac:dyDescent="0.2">
      <c r="A369" s="981">
        <v>373</v>
      </c>
      <c r="B369" s="983" t="s">
        <v>130</v>
      </c>
      <c r="C369" s="980" t="s">
        <v>3520</v>
      </c>
      <c r="D369" s="984" t="s">
        <v>1112</v>
      </c>
      <c r="E369" s="981"/>
      <c r="F369" s="982"/>
      <c r="G369" s="982"/>
      <c r="H369" s="982"/>
      <c r="I369" s="981"/>
    </row>
    <row r="370" spans="1:9" ht="15" x14ac:dyDescent="0.2">
      <c r="A370" s="981">
        <v>374</v>
      </c>
      <c r="B370" s="983" t="s">
        <v>40</v>
      </c>
      <c r="C370" s="980" t="s">
        <v>3520</v>
      </c>
      <c r="D370" s="980" t="s">
        <v>41</v>
      </c>
      <c r="E370" s="981"/>
      <c r="F370" s="982"/>
      <c r="G370" s="982"/>
      <c r="H370" s="982"/>
      <c r="I370" s="981"/>
    </row>
    <row r="371" spans="1:9" ht="15" x14ac:dyDescent="0.2">
      <c r="A371" s="981">
        <v>375</v>
      </c>
      <c r="B371" s="983" t="s">
        <v>21</v>
      </c>
      <c r="C371" s="980" t="s">
        <v>3520</v>
      </c>
      <c r="D371" s="980" t="s">
        <v>22</v>
      </c>
      <c r="E371" s="981"/>
      <c r="F371" s="982"/>
      <c r="G371" s="982"/>
      <c r="H371" s="982"/>
      <c r="I371" s="981"/>
    </row>
    <row r="372" spans="1:9" ht="15" x14ac:dyDescent="0.2">
      <c r="A372" s="981">
        <v>376</v>
      </c>
      <c r="B372" s="983" t="s">
        <v>37</v>
      </c>
      <c r="C372" s="980" t="s">
        <v>3520</v>
      </c>
      <c r="D372" s="980" t="s">
        <v>38</v>
      </c>
      <c r="E372" s="981"/>
      <c r="F372" s="982"/>
      <c r="G372" s="982"/>
      <c r="H372" s="982"/>
      <c r="I372" s="981"/>
    </row>
    <row r="373" spans="1:9" ht="15" x14ac:dyDescent="0.2">
      <c r="A373" s="981">
        <v>377</v>
      </c>
      <c r="B373" s="983" t="s">
        <v>52</v>
      </c>
      <c r="C373" s="980" t="s">
        <v>3520</v>
      </c>
      <c r="D373" s="980" t="s">
        <v>53</v>
      </c>
      <c r="E373" s="981"/>
      <c r="F373" s="982"/>
      <c r="G373" s="982"/>
      <c r="H373" s="982"/>
      <c r="I373" s="981"/>
    </row>
    <row r="374" spans="1:9" ht="15" x14ac:dyDescent="0.2">
      <c r="A374" s="981">
        <v>378</v>
      </c>
      <c r="B374" s="983" t="s">
        <v>133</v>
      </c>
      <c r="C374" s="980" t="s">
        <v>3520</v>
      </c>
      <c r="D374" s="980" t="s">
        <v>134</v>
      </c>
      <c r="E374" s="981"/>
      <c r="F374" s="982"/>
      <c r="G374" s="982"/>
      <c r="H374" s="982"/>
      <c r="I374" s="981"/>
    </row>
    <row r="375" spans="1:9" ht="15" x14ac:dyDescent="0.2">
      <c r="A375" s="981">
        <v>379</v>
      </c>
      <c r="B375" s="983" t="s">
        <v>145</v>
      </c>
      <c r="C375" s="980" t="s">
        <v>3520</v>
      </c>
      <c r="D375" s="980" t="s">
        <v>43</v>
      </c>
      <c r="E375" s="981"/>
      <c r="F375" s="982"/>
      <c r="G375" s="982"/>
      <c r="H375" s="982"/>
      <c r="I375" s="981"/>
    </row>
    <row r="376" spans="1:9" ht="15" x14ac:dyDescent="0.2">
      <c r="A376" s="981">
        <v>380</v>
      </c>
      <c r="B376" s="983" t="s">
        <v>185</v>
      </c>
      <c r="C376" s="980" t="s">
        <v>3520</v>
      </c>
      <c r="D376" s="980" t="s">
        <v>186</v>
      </c>
      <c r="E376" s="981"/>
      <c r="F376" s="982"/>
      <c r="G376" s="982"/>
      <c r="H376" s="982"/>
      <c r="I376" s="981"/>
    </row>
    <row r="377" spans="1:9" ht="25.5" x14ac:dyDescent="0.2">
      <c r="A377" s="981">
        <v>381</v>
      </c>
      <c r="B377" s="983" t="s">
        <v>195</v>
      </c>
      <c r="C377" s="980" t="s">
        <v>3520</v>
      </c>
      <c r="D377" s="984" t="s">
        <v>1037</v>
      </c>
      <c r="E377" s="981"/>
      <c r="F377" s="982"/>
      <c r="G377" s="982"/>
      <c r="H377" s="982"/>
      <c r="I377" s="981"/>
    </row>
    <row r="378" spans="1:9" ht="15" x14ac:dyDescent="0.2">
      <c r="A378" s="981">
        <v>382</v>
      </c>
      <c r="B378" s="983" t="s">
        <v>257</v>
      </c>
      <c r="C378" s="980" t="s">
        <v>3520</v>
      </c>
      <c r="D378" s="980" t="s">
        <v>1035</v>
      </c>
      <c r="E378" s="981"/>
      <c r="F378" s="982"/>
      <c r="G378" s="982"/>
      <c r="H378" s="982"/>
      <c r="I378" s="981"/>
    </row>
    <row r="379" spans="1:9" ht="15" x14ac:dyDescent="0.2">
      <c r="A379" s="981">
        <v>383</v>
      </c>
      <c r="B379" s="983" t="s">
        <v>273</v>
      </c>
      <c r="C379" s="980" t="s">
        <v>3520</v>
      </c>
      <c r="D379" s="980" t="s">
        <v>126</v>
      </c>
      <c r="E379" s="981"/>
      <c r="F379" s="982"/>
      <c r="G379" s="982"/>
      <c r="H379" s="982"/>
      <c r="I379" s="981"/>
    </row>
    <row r="380" spans="1:9" ht="15" x14ac:dyDescent="0.2">
      <c r="A380" s="981">
        <v>384</v>
      </c>
      <c r="B380" s="983" t="s">
        <v>266</v>
      </c>
      <c r="C380" s="980" t="s">
        <v>3520</v>
      </c>
      <c r="D380" s="980" t="s">
        <v>1030</v>
      </c>
      <c r="E380" s="981"/>
      <c r="F380" s="982"/>
      <c r="G380" s="982"/>
      <c r="H380" s="982"/>
      <c r="I380" s="981"/>
    </row>
    <row r="381" spans="1:9" ht="15" x14ac:dyDescent="0.2">
      <c r="A381" s="981">
        <v>385</v>
      </c>
      <c r="B381" s="983" t="s">
        <v>271</v>
      </c>
      <c r="C381" s="980" t="s">
        <v>3520</v>
      </c>
      <c r="D381" s="980" t="s">
        <v>272</v>
      </c>
      <c r="E381" s="981"/>
      <c r="F381" s="982"/>
      <c r="G381" s="982"/>
      <c r="H381" s="982"/>
      <c r="I381" s="981"/>
    </row>
    <row r="382" spans="1:9" ht="15" x14ac:dyDescent="0.2">
      <c r="A382" s="981">
        <v>386</v>
      </c>
      <c r="B382" s="983" t="s">
        <v>298</v>
      </c>
      <c r="C382" s="980" t="s">
        <v>3520</v>
      </c>
      <c r="D382" s="980" t="s">
        <v>90</v>
      </c>
      <c r="E382" s="981"/>
      <c r="F382" s="982"/>
      <c r="G382" s="982"/>
      <c r="H382" s="982"/>
      <c r="I382" s="981"/>
    </row>
    <row r="383" spans="1:9" ht="15" x14ac:dyDescent="0.2">
      <c r="A383" s="981">
        <v>387</v>
      </c>
      <c r="B383" s="983" t="s">
        <v>302</v>
      </c>
      <c r="C383" s="980" t="s">
        <v>3520</v>
      </c>
      <c r="D383" s="980" t="s">
        <v>303</v>
      </c>
      <c r="E383" s="981"/>
      <c r="F383" s="982"/>
      <c r="G383" s="982"/>
      <c r="H383" s="982"/>
      <c r="I383" s="981"/>
    </row>
    <row r="384" spans="1:9" ht="15" x14ac:dyDescent="0.2">
      <c r="A384" s="981">
        <v>388</v>
      </c>
      <c r="B384" s="983" t="s">
        <v>307</v>
      </c>
      <c r="C384" s="980" t="s">
        <v>3520</v>
      </c>
      <c r="D384" s="980" t="s">
        <v>144</v>
      </c>
      <c r="E384" s="981"/>
      <c r="F384" s="982"/>
      <c r="G384" s="982"/>
      <c r="H384" s="982"/>
      <c r="I384" s="981"/>
    </row>
    <row r="385" spans="1:9" ht="15" x14ac:dyDescent="0.2">
      <c r="A385" s="981">
        <v>389</v>
      </c>
      <c r="B385" s="983" t="s">
        <v>551</v>
      </c>
      <c r="C385" s="980" t="s">
        <v>3520</v>
      </c>
      <c r="D385" s="980" t="s">
        <v>29</v>
      </c>
      <c r="E385" s="981"/>
      <c r="F385" s="982"/>
      <c r="G385" s="982"/>
      <c r="H385" s="982"/>
      <c r="I385" s="981"/>
    </row>
    <row r="386" spans="1:9" ht="15" x14ac:dyDescent="0.2">
      <c r="A386" s="981">
        <v>390</v>
      </c>
      <c r="B386" s="983" t="s">
        <v>1486</v>
      </c>
      <c r="C386" s="980" t="s">
        <v>3520</v>
      </c>
      <c r="D386" s="980" t="s">
        <v>1599</v>
      </c>
      <c r="E386" s="981"/>
      <c r="F386" s="982"/>
      <c r="G386" s="982"/>
      <c r="H386" s="982"/>
      <c r="I386" s="981"/>
    </row>
    <row r="387" spans="1:9" ht="25.5" x14ac:dyDescent="0.2">
      <c r="A387" s="981">
        <v>391</v>
      </c>
      <c r="B387" s="983" t="s">
        <v>1482</v>
      </c>
      <c r="C387" s="980" t="s">
        <v>3520</v>
      </c>
      <c r="D387" s="984" t="s">
        <v>1483</v>
      </c>
      <c r="E387" s="981"/>
      <c r="F387" s="982"/>
      <c r="G387" s="982"/>
      <c r="H387" s="982"/>
      <c r="I387" s="981"/>
    </row>
    <row r="388" spans="1:9" ht="15" x14ac:dyDescent="0.2">
      <c r="A388" s="981">
        <v>392</v>
      </c>
      <c r="B388" s="983" t="s">
        <v>1570</v>
      </c>
      <c r="C388" s="980" t="s">
        <v>3520</v>
      </c>
      <c r="D388" s="980" t="s">
        <v>1569</v>
      </c>
      <c r="E388" s="981"/>
      <c r="F388" s="982"/>
      <c r="G388" s="982"/>
      <c r="H388" s="982"/>
      <c r="I388" s="981"/>
    </row>
    <row r="389" spans="1:9" ht="15" x14ac:dyDescent="0.2">
      <c r="A389" s="981">
        <v>393</v>
      </c>
      <c r="B389" s="983" t="s">
        <v>1584</v>
      </c>
      <c r="C389" s="980" t="s">
        <v>3520</v>
      </c>
      <c r="D389" s="980" t="s">
        <v>1585</v>
      </c>
      <c r="E389" s="981"/>
      <c r="F389" s="982"/>
      <c r="G389" s="982"/>
      <c r="H389" s="982"/>
      <c r="I389" s="981"/>
    </row>
    <row r="390" spans="1:9" ht="15" x14ac:dyDescent="0.2">
      <c r="A390" s="981">
        <v>394</v>
      </c>
      <c r="B390" s="983" t="s">
        <v>1071</v>
      </c>
      <c r="C390" s="980" t="s">
        <v>3520</v>
      </c>
      <c r="D390" s="980" t="s">
        <v>1072</v>
      </c>
      <c r="E390" s="981"/>
      <c r="F390" s="982"/>
      <c r="G390" s="982"/>
      <c r="H390" s="982"/>
      <c r="I390" s="981"/>
    </row>
    <row r="391" spans="1:9" ht="15" x14ac:dyDescent="0.2">
      <c r="A391" s="981">
        <v>395</v>
      </c>
      <c r="B391" s="983" t="s">
        <v>556</v>
      </c>
      <c r="C391" s="980" t="s">
        <v>3520</v>
      </c>
      <c r="D391" s="980" t="s">
        <v>1004</v>
      </c>
      <c r="E391" s="981"/>
      <c r="F391" s="982"/>
      <c r="G391" s="982"/>
      <c r="H391" s="982"/>
      <c r="I391" s="981"/>
    </row>
    <row r="392" spans="1:9" ht="15" x14ac:dyDescent="0.2">
      <c r="A392" s="981">
        <v>396</v>
      </c>
      <c r="B392" s="983" t="s">
        <v>1069</v>
      </c>
      <c r="C392" s="980" t="s">
        <v>3520</v>
      </c>
      <c r="D392" s="980" t="s">
        <v>1070</v>
      </c>
      <c r="E392" s="981"/>
      <c r="F392" s="982"/>
      <c r="G392" s="982"/>
      <c r="H392" s="982"/>
      <c r="I392" s="981"/>
    </row>
    <row r="393" spans="1:9" ht="15" x14ac:dyDescent="0.2">
      <c r="A393" s="981">
        <v>397</v>
      </c>
      <c r="B393" s="983" t="s">
        <v>279</v>
      </c>
      <c r="C393" s="980" t="s">
        <v>3520</v>
      </c>
      <c r="D393" s="980" t="s">
        <v>3590</v>
      </c>
      <c r="E393" s="981"/>
      <c r="F393" s="982"/>
      <c r="G393" s="982"/>
      <c r="H393" s="982"/>
      <c r="I393" s="981"/>
    </row>
    <row r="394" spans="1:9" ht="15" x14ac:dyDescent="0.2">
      <c r="A394" s="981">
        <v>398</v>
      </c>
      <c r="B394" s="983" t="s">
        <v>597</v>
      </c>
      <c r="C394" s="980" t="s">
        <v>3520</v>
      </c>
      <c r="D394" s="980" t="s">
        <v>3601</v>
      </c>
      <c r="E394" s="981"/>
      <c r="F394" s="982"/>
      <c r="G394" s="982"/>
      <c r="H394" s="982"/>
      <c r="I394" s="981"/>
    </row>
    <row r="395" spans="1:9" ht="15" x14ac:dyDescent="0.2">
      <c r="A395" s="981">
        <v>399</v>
      </c>
      <c r="B395" s="983" t="s">
        <v>9</v>
      </c>
      <c r="C395" s="980" t="s">
        <v>3520</v>
      </c>
      <c r="D395" s="980" t="s">
        <v>3602</v>
      </c>
      <c r="E395" s="981"/>
      <c r="F395" s="982"/>
      <c r="G395" s="982"/>
      <c r="H395" s="982"/>
      <c r="I395" s="981"/>
    </row>
    <row r="396" spans="1:9" ht="15" x14ac:dyDescent="0.2">
      <c r="A396" s="981">
        <v>400</v>
      </c>
      <c r="B396" s="983" t="s">
        <v>146</v>
      </c>
      <c r="C396" s="980" t="s">
        <v>3520</v>
      </c>
      <c r="D396" s="980" t="s">
        <v>3603</v>
      </c>
      <c r="E396" s="981"/>
      <c r="F396" s="982"/>
      <c r="G396" s="982"/>
      <c r="H396" s="982"/>
      <c r="I396" s="981"/>
    </row>
    <row r="397" spans="1:9" ht="15" x14ac:dyDescent="0.2">
      <c r="A397" s="981">
        <v>403</v>
      </c>
      <c r="B397" s="983" t="s">
        <v>82</v>
      </c>
      <c r="C397" s="980" t="s">
        <v>3520</v>
      </c>
      <c r="D397" s="980" t="s">
        <v>3634</v>
      </c>
      <c r="E397" s="981"/>
      <c r="F397" s="982"/>
      <c r="G397" s="982"/>
      <c r="H397" s="982"/>
      <c r="I397" s="981"/>
    </row>
    <row r="398" spans="1:9" ht="25.5" x14ac:dyDescent="0.25">
      <c r="A398" s="949">
        <v>294</v>
      </c>
      <c r="B398" s="1016" t="s">
        <v>2738</v>
      </c>
      <c r="C398" s="942" t="s">
        <v>3520</v>
      </c>
      <c r="D398" s="942" t="s">
        <v>2736</v>
      </c>
      <c r="E398" s="940" t="s">
        <v>3832</v>
      </c>
      <c r="F398" s="969" t="s">
        <v>3502</v>
      </c>
      <c r="G398" s="954" t="s">
        <v>3848</v>
      </c>
      <c r="H398" s="969"/>
      <c r="I398" s="955" t="s">
        <v>3549</v>
      </c>
    </row>
    <row r="399" spans="1:9" ht="25.5" x14ac:dyDescent="0.2">
      <c r="A399" s="949">
        <v>295</v>
      </c>
      <c r="B399" s="955" t="s">
        <v>309</v>
      </c>
      <c r="C399" s="942" t="s">
        <v>3521</v>
      </c>
      <c r="D399" s="942" t="s">
        <v>77</v>
      </c>
      <c r="E399" s="940" t="s">
        <v>4074</v>
      </c>
      <c r="F399" s="969" t="s">
        <v>3928</v>
      </c>
      <c r="G399" s="969"/>
      <c r="H399" s="969"/>
      <c r="I399" s="940" t="s">
        <v>3549</v>
      </c>
    </row>
    <row r="400" spans="1:9" ht="25.5" x14ac:dyDescent="0.2">
      <c r="A400" s="949">
        <v>296</v>
      </c>
      <c r="B400" s="955" t="s">
        <v>1334</v>
      </c>
      <c r="C400" s="942" t="s">
        <v>391</v>
      </c>
      <c r="D400" s="942" t="s">
        <v>1335</v>
      </c>
      <c r="E400" s="940"/>
      <c r="F400" s="969"/>
      <c r="G400" s="969"/>
      <c r="H400" s="969"/>
      <c r="I400" s="940" t="s">
        <v>3549</v>
      </c>
    </row>
    <row r="401" spans="1:9" ht="25.5" x14ac:dyDescent="0.2">
      <c r="A401" s="949">
        <v>297</v>
      </c>
      <c r="B401" s="1009" t="s">
        <v>1633</v>
      </c>
      <c r="C401" s="942" t="s">
        <v>3520</v>
      </c>
      <c r="D401" s="942" t="s">
        <v>1025</v>
      </c>
      <c r="E401" s="940" t="s">
        <v>3656</v>
      </c>
      <c r="F401" s="969" t="s">
        <v>3502</v>
      </c>
      <c r="G401" s="969"/>
      <c r="H401" s="969"/>
      <c r="I401" s="940" t="s">
        <v>3549</v>
      </c>
    </row>
    <row r="402" spans="1:9" ht="25.5" x14ac:dyDescent="0.2">
      <c r="A402" s="949">
        <v>298</v>
      </c>
      <c r="B402" s="955" t="s">
        <v>2019</v>
      </c>
      <c r="C402" s="942" t="s">
        <v>3521</v>
      </c>
      <c r="D402" s="942" t="s">
        <v>2020</v>
      </c>
      <c r="E402" s="940" t="s">
        <v>3905</v>
      </c>
      <c r="F402" s="969" t="s">
        <v>3502</v>
      </c>
      <c r="G402" s="969"/>
      <c r="H402" s="969"/>
      <c r="I402" s="940" t="s">
        <v>3549</v>
      </c>
    </row>
    <row r="403" spans="1:9" ht="76.5" x14ac:dyDescent="0.2">
      <c r="A403" s="949">
        <v>299</v>
      </c>
      <c r="B403" s="1009" t="s">
        <v>2107</v>
      </c>
      <c r="C403" s="942" t="s">
        <v>3520</v>
      </c>
      <c r="D403" s="942" t="s">
        <v>2440</v>
      </c>
      <c r="E403" s="940" t="s">
        <v>3771</v>
      </c>
      <c r="F403" s="969" t="s">
        <v>3548</v>
      </c>
      <c r="G403" s="969" t="s">
        <v>3561</v>
      </c>
      <c r="H403" s="969" t="s">
        <v>3846</v>
      </c>
      <c r="I403" s="940" t="s">
        <v>3548</v>
      </c>
    </row>
    <row r="404" spans="1:9" ht="15" x14ac:dyDescent="0.2">
      <c r="A404" s="949">
        <v>301</v>
      </c>
      <c r="B404" s="1009" t="s">
        <v>2370</v>
      </c>
      <c r="C404" s="942" t="s">
        <v>3520</v>
      </c>
      <c r="D404" s="942" t="s">
        <v>2371</v>
      </c>
      <c r="E404" s="940"/>
      <c r="F404" s="969"/>
      <c r="G404" s="969"/>
      <c r="H404" s="969"/>
      <c r="I404" s="940" t="s">
        <v>3549</v>
      </c>
    </row>
    <row r="405" spans="1:9" x14ac:dyDescent="0.2">
      <c r="A405" s="949">
        <v>302</v>
      </c>
      <c r="B405" s="955" t="s">
        <v>2420</v>
      </c>
      <c r="C405" s="942" t="s">
        <v>391</v>
      </c>
      <c r="D405" s="942" t="s">
        <v>2421</v>
      </c>
      <c r="E405" s="940"/>
      <c r="F405" s="969"/>
      <c r="G405" s="969"/>
      <c r="H405" s="969"/>
      <c r="I405" s="940" t="s">
        <v>3549</v>
      </c>
    </row>
    <row r="406" spans="1:9" ht="191.25" x14ac:dyDescent="0.2">
      <c r="A406" s="949">
        <v>303</v>
      </c>
      <c r="B406" s="955" t="s">
        <v>2436</v>
      </c>
      <c r="C406" s="942" t="s">
        <v>391</v>
      </c>
      <c r="D406" s="942" t="s">
        <v>1339</v>
      </c>
      <c r="E406" s="940"/>
      <c r="F406" s="969"/>
      <c r="G406" s="969" t="s">
        <v>3562</v>
      </c>
      <c r="H406" s="969"/>
      <c r="I406" s="940" t="s">
        <v>3337</v>
      </c>
    </row>
    <row r="407" spans="1:9" x14ac:dyDescent="0.2">
      <c r="A407" s="949">
        <v>304</v>
      </c>
      <c r="B407" s="955" t="s">
        <v>3558</v>
      </c>
      <c r="C407" s="942" t="s">
        <v>391</v>
      </c>
      <c r="D407" s="942" t="s">
        <v>2876</v>
      </c>
      <c r="E407" s="940"/>
      <c r="F407" s="969"/>
      <c r="G407" s="969"/>
      <c r="H407" s="969"/>
      <c r="I407" s="940" t="s">
        <v>3548</v>
      </c>
    </row>
    <row r="408" spans="1:9" ht="15" x14ac:dyDescent="0.2">
      <c r="A408" s="949">
        <v>305</v>
      </c>
      <c r="B408" s="1009" t="s">
        <v>2438</v>
      </c>
      <c r="C408" s="942" t="s">
        <v>3520</v>
      </c>
      <c r="D408" s="942" t="s">
        <v>2439</v>
      </c>
      <c r="E408" s="940"/>
      <c r="F408" s="969"/>
      <c r="G408" s="969"/>
      <c r="H408" s="969"/>
      <c r="I408" s="940" t="s">
        <v>3549</v>
      </c>
    </row>
    <row r="409" spans="1:9" ht="25.5" x14ac:dyDescent="0.2">
      <c r="A409" s="949">
        <v>306</v>
      </c>
      <c r="B409" s="1009" t="s">
        <v>2446</v>
      </c>
      <c r="C409" s="942" t="s">
        <v>3520</v>
      </c>
      <c r="D409" s="942" t="s">
        <v>1112</v>
      </c>
      <c r="E409" s="940" t="s">
        <v>3831</v>
      </c>
      <c r="F409" s="969" t="s">
        <v>3502</v>
      </c>
      <c r="G409" s="969"/>
      <c r="H409" s="969"/>
      <c r="I409" s="940" t="s">
        <v>3549</v>
      </c>
    </row>
    <row r="410" spans="1:9" ht="25.5" x14ac:dyDescent="0.2">
      <c r="A410" s="949">
        <v>307</v>
      </c>
      <c r="B410" s="955" t="s">
        <v>2453</v>
      </c>
      <c r="C410" s="942" t="s">
        <v>3521</v>
      </c>
      <c r="D410" s="942" t="s">
        <v>1860</v>
      </c>
      <c r="E410" s="940"/>
      <c r="F410" s="969"/>
      <c r="G410" s="969" t="s">
        <v>3647</v>
      </c>
      <c r="H410" s="969" t="s">
        <v>4335</v>
      </c>
      <c r="I410" s="940" t="s">
        <v>3548</v>
      </c>
    </row>
    <row r="411" spans="1:9" ht="25.5" x14ac:dyDescent="0.2">
      <c r="A411" s="949">
        <v>309</v>
      </c>
      <c r="B411" s="955" t="s">
        <v>2478</v>
      </c>
      <c r="C411" s="942" t="s">
        <v>3520</v>
      </c>
      <c r="D411" s="942" t="s">
        <v>1025</v>
      </c>
      <c r="E411" s="940" t="s">
        <v>3657</v>
      </c>
      <c r="F411" s="969" t="s">
        <v>3502</v>
      </c>
      <c r="G411" s="969"/>
      <c r="H411" s="969"/>
      <c r="I411" s="940" t="s">
        <v>3549</v>
      </c>
    </row>
    <row r="412" spans="1:9" ht="25.5" x14ac:dyDescent="0.2">
      <c r="A412" s="949">
        <v>310</v>
      </c>
      <c r="B412" s="1009" t="s">
        <v>2509</v>
      </c>
      <c r="C412" s="942" t="s">
        <v>3520</v>
      </c>
      <c r="D412" s="942" t="s">
        <v>2011</v>
      </c>
      <c r="E412" s="940" t="s">
        <v>3658</v>
      </c>
      <c r="F412" s="969" t="s">
        <v>3502</v>
      </c>
      <c r="G412" s="969"/>
      <c r="H412" s="969"/>
      <c r="I412" s="940" t="s">
        <v>3548</v>
      </c>
    </row>
    <row r="413" spans="1:9" x14ac:dyDescent="0.2">
      <c r="A413" s="949">
        <v>311</v>
      </c>
      <c r="B413" s="955" t="s">
        <v>2474</v>
      </c>
      <c r="C413" s="942" t="s">
        <v>391</v>
      </c>
      <c r="D413" s="942" t="s">
        <v>1873</v>
      </c>
      <c r="E413" s="940"/>
      <c r="F413" s="969"/>
      <c r="G413" s="969"/>
      <c r="H413" s="969"/>
      <c r="I413" s="940" t="s">
        <v>3549</v>
      </c>
    </row>
    <row r="414" spans="1:9" ht="25.5" x14ac:dyDescent="0.2">
      <c r="A414" s="949">
        <v>312</v>
      </c>
      <c r="B414" s="955" t="s">
        <v>2524</v>
      </c>
      <c r="C414" s="942" t="s">
        <v>3520</v>
      </c>
      <c r="D414" s="942" t="s">
        <v>41</v>
      </c>
      <c r="E414" s="940" t="s">
        <v>3837</v>
      </c>
      <c r="F414" s="969" t="s">
        <v>3502</v>
      </c>
      <c r="G414" s="969"/>
      <c r="H414" s="969"/>
      <c r="I414" s="940" t="s">
        <v>3549</v>
      </c>
    </row>
    <row r="415" spans="1:9" ht="25.5" x14ac:dyDescent="0.2">
      <c r="A415" s="949">
        <v>313</v>
      </c>
      <c r="B415" s="1009" t="s">
        <v>2579</v>
      </c>
      <c r="C415" s="942" t="s">
        <v>3520</v>
      </c>
      <c r="D415" s="942" t="s">
        <v>1997</v>
      </c>
      <c r="E415" s="940" t="s">
        <v>3660</v>
      </c>
      <c r="F415" s="969"/>
      <c r="G415" s="969" t="s">
        <v>3646</v>
      </c>
      <c r="H415" s="969"/>
      <c r="I415" s="940" t="s">
        <v>3549</v>
      </c>
    </row>
    <row r="416" spans="1:9" ht="25.5" x14ac:dyDescent="0.2">
      <c r="A416" s="949">
        <v>314</v>
      </c>
      <c r="B416" s="955" t="s">
        <v>2543</v>
      </c>
      <c r="C416" s="942" t="s">
        <v>3520</v>
      </c>
      <c r="D416" s="942" t="s">
        <v>2544</v>
      </c>
      <c r="E416" s="1013">
        <v>43199</v>
      </c>
      <c r="F416" s="969" t="s">
        <v>3502</v>
      </c>
      <c r="G416" s="969"/>
      <c r="H416" s="969"/>
      <c r="I416" s="940" t="s">
        <v>3549</v>
      </c>
    </row>
    <row r="417" spans="1:9" x14ac:dyDescent="0.2">
      <c r="A417" s="949">
        <v>315</v>
      </c>
      <c r="B417" s="955" t="s">
        <v>2568</v>
      </c>
      <c r="C417" s="942" t="s">
        <v>391</v>
      </c>
      <c r="D417" s="942" t="s">
        <v>144</v>
      </c>
      <c r="E417" s="940"/>
      <c r="F417" s="969"/>
      <c r="G417" s="969"/>
      <c r="H417" s="969"/>
      <c r="I417" s="940" t="s">
        <v>3549</v>
      </c>
    </row>
    <row r="418" spans="1:9" ht="89.25" x14ac:dyDescent="0.2">
      <c r="A418" s="949">
        <v>316</v>
      </c>
      <c r="B418" s="1009" t="s">
        <v>2646</v>
      </c>
      <c r="C418" s="942" t="s">
        <v>3520</v>
      </c>
      <c r="D418" s="942" t="s">
        <v>2099</v>
      </c>
      <c r="E418" s="940"/>
      <c r="F418" s="969"/>
      <c r="G418" s="969" t="s">
        <v>3564</v>
      </c>
      <c r="H418" s="969"/>
      <c r="I418" s="940" t="s">
        <v>3337</v>
      </c>
    </row>
    <row r="419" spans="1:9" ht="25.5" x14ac:dyDescent="0.2">
      <c r="A419" s="949">
        <v>317</v>
      </c>
      <c r="B419" s="955" t="s">
        <v>2687</v>
      </c>
      <c r="C419" s="942" t="s">
        <v>3521</v>
      </c>
      <c r="D419" s="942" t="s">
        <v>2688</v>
      </c>
      <c r="E419" s="940" t="s">
        <v>3929</v>
      </c>
      <c r="F419" s="969" t="s">
        <v>3928</v>
      </c>
      <c r="G419" s="969"/>
      <c r="H419" s="969"/>
      <c r="I419" s="940" t="s">
        <v>3548</v>
      </c>
    </row>
    <row r="420" spans="1:9" ht="63.75" x14ac:dyDescent="0.2">
      <c r="A420" s="949">
        <v>318</v>
      </c>
      <c r="B420" s="1009" t="s">
        <v>2661</v>
      </c>
      <c r="C420" s="942" t="s">
        <v>3520</v>
      </c>
      <c r="D420" s="942" t="s">
        <v>2129</v>
      </c>
      <c r="E420" s="940"/>
      <c r="F420" s="969"/>
      <c r="G420" s="969" t="s">
        <v>3565</v>
      </c>
      <c r="H420" s="969"/>
      <c r="I420" s="940" t="s">
        <v>3337</v>
      </c>
    </row>
    <row r="421" spans="1:9" ht="25.5" x14ac:dyDescent="0.2">
      <c r="A421" s="949">
        <v>319</v>
      </c>
      <c r="B421" s="1009" t="s">
        <v>2703</v>
      </c>
      <c r="C421" s="942" t="s">
        <v>3520</v>
      </c>
      <c r="D421" s="942" t="s">
        <v>2704</v>
      </c>
      <c r="E421" s="940"/>
      <c r="F421" s="969"/>
      <c r="G421" s="969" t="s">
        <v>3566</v>
      </c>
      <c r="H421" s="969"/>
      <c r="I421" s="940" t="s">
        <v>3337</v>
      </c>
    </row>
    <row r="422" spans="1:9" ht="38.25" x14ac:dyDescent="0.2">
      <c r="A422" s="949">
        <v>320</v>
      </c>
      <c r="B422" s="1009" t="s">
        <v>2701</v>
      </c>
      <c r="C422" s="942" t="s">
        <v>3520</v>
      </c>
      <c r="D422" s="942" t="s">
        <v>1865</v>
      </c>
      <c r="E422" s="940" t="s">
        <v>4161</v>
      </c>
      <c r="F422" s="969" t="s">
        <v>4162</v>
      </c>
      <c r="G422" s="969" t="s">
        <v>3567</v>
      </c>
      <c r="H422" s="969"/>
      <c r="I422" s="940" t="s">
        <v>3337</v>
      </c>
    </row>
    <row r="423" spans="1:9" ht="191.25" x14ac:dyDescent="0.2">
      <c r="A423" s="949">
        <v>321</v>
      </c>
      <c r="B423" s="955" t="s">
        <v>2728</v>
      </c>
      <c r="C423" s="942" t="s">
        <v>391</v>
      </c>
      <c r="D423" s="942" t="s">
        <v>1339</v>
      </c>
      <c r="E423" s="940"/>
      <c r="F423" s="969"/>
      <c r="G423" s="969" t="s">
        <v>3568</v>
      </c>
      <c r="H423" s="969"/>
      <c r="I423" s="940" t="s">
        <v>3337</v>
      </c>
    </row>
    <row r="424" spans="1:9" ht="25.5" x14ac:dyDescent="0.25">
      <c r="A424" s="949">
        <v>322</v>
      </c>
      <c r="B424" s="1019" t="s">
        <v>2761</v>
      </c>
      <c r="C424" s="942" t="s">
        <v>3520</v>
      </c>
      <c r="D424" s="942" t="s">
        <v>1346</v>
      </c>
      <c r="E424" s="940" t="s">
        <v>3659</v>
      </c>
      <c r="F424" s="969" t="s">
        <v>3502</v>
      </c>
      <c r="G424" s="969"/>
      <c r="H424" s="969"/>
      <c r="I424" s="940" t="s">
        <v>3549</v>
      </c>
    </row>
    <row r="425" spans="1:9" ht="25.5" x14ac:dyDescent="0.2">
      <c r="A425" s="949">
        <v>323</v>
      </c>
      <c r="B425" s="1009" t="s">
        <v>2745</v>
      </c>
      <c r="C425" s="942" t="s">
        <v>3520</v>
      </c>
      <c r="D425" s="942" t="s">
        <v>2744</v>
      </c>
      <c r="E425" s="940" t="s">
        <v>3653</v>
      </c>
      <c r="F425" s="969" t="s">
        <v>3502</v>
      </c>
      <c r="G425" s="969"/>
      <c r="H425" s="969"/>
      <c r="I425" s="940" t="s">
        <v>3548</v>
      </c>
    </row>
    <row r="426" spans="1:9" ht="25.5" x14ac:dyDescent="0.2">
      <c r="A426" s="949">
        <v>324</v>
      </c>
      <c r="B426" s="1009" t="s">
        <v>2792</v>
      </c>
      <c r="C426" s="942" t="s">
        <v>3520</v>
      </c>
      <c r="D426" s="942" t="s">
        <v>2793</v>
      </c>
      <c r="E426" s="940"/>
      <c r="F426" s="969"/>
      <c r="G426" s="969" t="s">
        <v>3569</v>
      </c>
      <c r="H426" s="969"/>
      <c r="I426" s="940" t="s">
        <v>3337</v>
      </c>
    </row>
    <row r="427" spans="1:9" ht="25.5" x14ac:dyDescent="0.2">
      <c r="A427" s="949">
        <v>325</v>
      </c>
      <c r="B427" s="1009" t="s">
        <v>2833</v>
      </c>
      <c r="C427" s="942" t="s">
        <v>3520</v>
      </c>
      <c r="D427" s="942" t="s">
        <v>2806</v>
      </c>
      <c r="E427" s="940"/>
      <c r="F427" s="969"/>
      <c r="G427" s="969" t="s">
        <v>3570</v>
      </c>
      <c r="H427" s="969"/>
      <c r="I427" s="940" t="s">
        <v>3337</v>
      </c>
    </row>
    <row r="428" spans="1:9" ht="25.5" x14ac:dyDescent="0.2">
      <c r="A428" s="949">
        <v>326</v>
      </c>
      <c r="B428" s="1009" t="s">
        <v>2505</v>
      </c>
      <c r="C428" s="942" t="s">
        <v>3520</v>
      </c>
      <c r="D428" s="942" t="s">
        <v>3559</v>
      </c>
      <c r="E428" s="940" t="s">
        <v>3654</v>
      </c>
      <c r="F428" s="969" t="s">
        <v>3502</v>
      </c>
      <c r="G428" s="969" t="s">
        <v>3687</v>
      </c>
      <c r="H428" s="969"/>
      <c r="I428" s="940" t="s">
        <v>3549</v>
      </c>
    </row>
    <row r="429" spans="1:9" ht="25.5" x14ac:dyDescent="0.2">
      <c r="A429" s="949">
        <v>327</v>
      </c>
      <c r="B429" s="1009" t="s">
        <v>2461</v>
      </c>
      <c r="C429" s="942" t="s">
        <v>3520</v>
      </c>
      <c r="D429" s="942" t="s">
        <v>284</v>
      </c>
      <c r="E429" s="940" t="s">
        <v>3655</v>
      </c>
      <c r="F429" s="969" t="s">
        <v>3502</v>
      </c>
      <c r="G429" s="969" t="s">
        <v>3686</v>
      </c>
      <c r="H429" s="969"/>
      <c r="I429" s="940" t="s">
        <v>3549</v>
      </c>
    </row>
    <row r="430" spans="1:9" ht="25.5" x14ac:dyDescent="0.2">
      <c r="A430" s="949">
        <v>328</v>
      </c>
      <c r="B430" s="1009" t="s">
        <v>2809</v>
      </c>
      <c r="C430" s="942" t="s">
        <v>3520</v>
      </c>
      <c r="D430" s="942" t="s">
        <v>152</v>
      </c>
      <c r="E430" s="940" t="s">
        <v>4070</v>
      </c>
      <c r="F430" s="969" t="s">
        <v>4162</v>
      </c>
      <c r="G430" s="969"/>
      <c r="H430" s="969"/>
      <c r="I430" s="940"/>
    </row>
    <row r="431" spans="1:9" x14ac:dyDescent="0.2">
      <c r="A431" s="940">
        <v>329</v>
      </c>
      <c r="B431" s="955" t="s">
        <v>2771</v>
      </c>
      <c r="C431" s="942" t="s">
        <v>3520</v>
      </c>
      <c r="D431" s="942" t="s">
        <v>3560</v>
      </c>
      <c r="E431" s="940"/>
      <c r="F431" s="969"/>
      <c r="G431" s="969"/>
      <c r="H431" s="969"/>
      <c r="I431" s="940"/>
    </row>
    <row r="432" spans="1:9" ht="25.5" x14ac:dyDescent="0.2">
      <c r="A432" s="940">
        <v>330</v>
      </c>
      <c r="B432" s="1009" t="s">
        <v>2765</v>
      </c>
      <c r="C432" s="942" t="s">
        <v>3520</v>
      </c>
      <c r="D432" s="942" t="s">
        <v>2766</v>
      </c>
      <c r="E432" s="940" t="s">
        <v>3952</v>
      </c>
      <c r="F432" s="969" t="s">
        <v>3502</v>
      </c>
      <c r="G432" s="969"/>
      <c r="H432" s="969"/>
      <c r="I432" s="940"/>
    </row>
    <row r="433" spans="1:9" ht="25.5" x14ac:dyDescent="0.2">
      <c r="A433" s="981">
        <v>404</v>
      </c>
      <c r="B433" s="1008" t="s">
        <v>2799</v>
      </c>
      <c r="C433" s="980" t="s">
        <v>3520</v>
      </c>
      <c r="D433" s="980" t="s">
        <v>3651</v>
      </c>
      <c r="E433" s="987" t="s">
        <v>3652</v>
      </c>
      <c r="F433" s="988" t="s">
        <v>3502</v>
      </c>
      <c r="G433" s="982"/>
      <c r="H433" s="982"/>
      <c r="I433" s="981" t="s">
        <v>3549</v>
      </c>
    </row>
    <row r="434" spans="1:9" ht="25.5" x14ac:dyDescent="0.2">
      <c r="A434" s="981">
        <v>405</v>
      </c>
      <c r="B434" s="1008" t="s">
        <v>2554</v>
      </c>
      <c r="C434" s="980" t="s">
        <v>3520</v>
      </c>
      <c r="D434" s="980" t="s">
        <v>3661</v>
      </c>
      <c r="E434" s="987" t="s">
        <v>3662</v>
      </c>
      <c r="F434" s="988" t="s">
        <v>3502</v>
      </c>
      <c r="G434" s="982"/>
      <c r="H434" s="982"/>
      <c r="I434" s="981" t="s">
        <v>3549</v>
      </c>
    </row>
    <row r="435" spans="1:9" ht="25.5" x14ac:dyDescent="0.2">
      <c r="A435" s="981">
        <v>406</v>
      </c>
      <c r="B435" s="1008" t="s">
        <v>2582</v>
      </c>
      <c r="C435" s="980" t="s">
        <v>3520</v>
      </c>
      <c r="D435" s="980" t="s">
        <v>3699</v>
      </c>
      <c r="E435" s="987" t="s">
        <v>3700</v>
      </c>
      <c r="F435" s="988" t="s">
        <v>3502</v>
      </c>
      <c r="G435" s="982" t="s">
        <v>3850</v>
      </c>
      <c r="H435" s="982"/>
      <c r="I435" s="981"/>
    </row>
    <row r="436" spans="1:9" ht="25.5" x14ac:dyDescent="0.2">
      <c r="A436" s="981">
        <v>407</v>
      </c>
      <c r="B436" s="1008" t="s">
        <v>2654</v>
      </c>
      <c r="C436" s="980" t="s">
        <v>3520</v>
      </c>
      <c r="D436" s="980" t="s">
        <v>3116</v>
      </c>
      <c r="E436" s="987" t="s">
        <v>3750</v>
      </c>
      <c r="F436" s="988" t="s">
        <v>3502</v>
      </c>
      <c r="G436" s="988" t="s">
        <v>3751</v>
      </c>
      <c r="H436" s="982"/>
      <c r="I436" s="981"/>
    </row>
    <row r="437" spans="1:9" ht="25.5" x14ac:dyDescent="0.2">
      <c r="A437" s="981">
        <v>408</v>
      </c>
      <c r="B437" s="981" t="s">
        <v>2651</v>
      </c>
      <c r="C437" s="980" t="s">
        <v>3520</v>
      </c>
      <c r="D437" s="980" t="s">
        <v>3126</v>
      </c>
      <c r="E437" s="987" t="s">
        <v>3758</v>
      </c>
      <c r="F437" s="988" t="s">
        <v>3502</v>
      </c>
      <c r="G437" s="988" t="s">
        <v>3759</v>
      </c>
      <c r="H437" s="982"/>
      <c r="I437" s="981"/>
    </row>
    <row r="438" spans="1:9" ht="25.5" x14ac:dyDescent="0.2">
      <c r="A438" s="981">
        <v>409</v>
      </c>
      <c r="B438" s="1008" t="s">
        <v>2601</v>
      </c>
      <c r="C438" s="980" t="s">
        <v>3520</v>
      </c>
      <c r="D438" s="984" t="s">
        <v>3833</v>
      </c>
      <c r="E438" s="987" t="s">
        <v>3834</v>
      </c>
      <c r="F438" s="988" t="s">
        <v>3502</v>
      </c>
      <c r="G438" s="988" t="s">
        <v>3849</v>
      </c>
      <c r="H438" s="982"/>
      <c r="I438" s="981"/>
    </row>
    <row r="439" spans="1:9" ht="25.5" x14ac:dyDescent="0.2">
      <c r="A439" s="981">
        <v>410</v>
      </c>
      <c r="B439" s="1008" t="s">
        <v>2563</v>
      </c>
      <c r="C439" s="980" t="s">
        <v>3520</v>
      </c>
      <c r="D439" s="980" t="s">
        <v>3835</v>
      </c>
      <c r="E439" s="987" t="s">
        <v>3836</v>
      </c>
      <c r="F439" s="988" t="s">
        <v>3502</v>
      </c>
      <c r="G439" s="982"/>
      <c r="H439" s="982"/>
      <c r="I439" s="981"/>
    </row>
    <row r="440" spans="1:9" ht="25.5" x14ac:dyDescent="0.2">
      <c r="A440" s="981">
        <v>411</v>
      </c>
      <c r="B440" s="981" t="s">
        <v>2872</v>
      </c>
      <c r="C440" s="980" t="s">
        <v>3521</v>
      </c>
      <c r="D440" s="980" t="s">
        <v>2876</v>
      </c>
      <c r="E440" s="987" t="s">
        <v>3845</v>
      </c>
      <c r="F440" s="988" t="s">
        <v>3548</v>
      </c>
      <c r="G440" s="988" t="s">
        <v>3859</v>
      </c>
      <c r="H440" s="988" t="s">
        <v>3873</v>
      </c>
      <c r="I440" s="981"/>
    </row>
    <row r="441" spans="1:9" ht="25.5" x14ac:dyDescent="0.2">
      <c r="A441" s="981">
        <v>412</v>
      </c>
      <c r="B441" s="1008" t="s">
        <v>2526</v>
      </c>
      <c r="C441" s="980" t="s">
        <v>3520</v>
      </c>
      <c r="D441" s="980" t="s">
        <v>3590</v>
      </c>
      <c r="E441" s="987" t="s">
        <v>3896</v>
      </c>
      <c r="F441" s="988" t="s">
        <v>3502</v>
      </c>
      <c r="G441" s="988" t="s">
        <v>3897</v>
      </c>
      <c r="H441" s="982"/>
      <c r="I441" s="981"/>
    </row>
    <row r="442" spans="1:9" ht="25.5" x14ac:dyDescent="0.2">
      <c r="A442" s="981">
        <v>413</v>
      </c>
      <c r="B442" s="1008" t="s">
        <v>3577</v>
      </c>
      <c r="C442" s="980" t="s">
        <v>3520</v>
      </c>
      <c r="D442" s="980" t="s">
        <v>3747</v>
      </c>
      <c r="E442" s="987" t="s">
        <v>3904</v>
      </c>
      <c r="F442" s="988" t="s">
        <v>3502</v>
      </c>
      <c r="G442" s="982"/>
      <c r="H442" s="982"/>
      <c r="I442" s="981"/>
    </row>
    <row r="443" spans="1:9" ht="25.5" x14ac:dyDescent="0.2">
      <c r="A443" s="981">
        <v>414</v>
      </c>
      <c r="B443" s="1008" t="s">
        <v>3581</v>
      </c>
      <c r="C443" s="980" t="s">
        <v>3520</v>
      </c>
      <c r="D443" s="980" t="s">
        <v>3747</v>
      </c>
      <c r="E443" s="987" t="s">
        <v>3906</v>
      </c>
      <c r="F443" s="988" t="s">
        <v>3502</v>
      </c>
      <c r="G443" s="982"/>
      <c r="H443" s="982"/>
      <c r="I443" s="981"/>
    </row>
    <row r="444" spans="1:9" ht="15" x14ac:dyDescent="0.2">
      <c r="A444" s="981">
        <v>415</v>
      </c>
      <c r="B444" s="1008" t="s">
        <v>2924</v>
      </c>
      <c r="C444" s="980" t="s">
        <v>3520</v>
      </c>
      <c r="D444" s="980" t="s">
        <v>1034</v>
      </c>
      <c r="E444" s="987"/>
      <c r="F444" s="988"/>
      <c r="G444" s="982"/>
      <c r="H444" s="982"/>
      <c r="I444" s="981"/>
    </row>
    <row r="445" spans="1:9" ht="25.5" x14ac:dyDescent="0.2">
      <c r="A445" s="981">
        <v>416</v>
      </c>
      <c r="B445" s="981" t="s">
        <v>2691</v>
      </c>
      <c r="C445" s="980" t="s">
        <v>3520</v>
      </c>
      <c r="D445" s="980" t="s">
        <v>3926</v>
      </c>
      <c r="E445" s="987" t="s">
        <v>3927</v>
      </c>
      <c r="F445" s="988" t="s">
        <v>3928</v>
      </c>
      <c r="G445" s="982"/>
      <c r="H445" s="982"/>
      <c r="I445" s="981"/>
    </row>
    <row r="446" spans="1:9" ht="15" x14ac:dyDescent="0.2">
      <c r="A446" s="981">
        <v>417</v>
      </c>
      <c r="B446" s="1010" t="s">
        <v>2995</v>
      </c>
      <c r="C446" s="443" t="s">
        <v>3520</v>
      </c>
      <c r="D446" s="443" t="s">
        <v>2996</v>
      </c>
      <c r="E446" s="987"/>
      <c r="F446" s="988" t="s">
        <v>3380</v>
      </c>
      <c r="G446" s="982"/>
      <c r="H446" s="982"/>
      <c r="I446" s="981"/>
    </row>
    <row r="447" spans="1:9" x14ac:dyDescent="0.2">
      <c r="A447" s="981">
        <v>418</v>
      </c>
      <c r="B447" s="981" t="s">
        <v>3933</v>
      </c>
      <c r="C447" s="980" t="s">
        <v>3520</v>
      </c>
      <c r="D447" s="890" t="s">
        <v>2027</v>
      </c>
      <c r="E447" s="987"/>
      <c r="F447" s="988" t="s">
        <v>3928</v>
      </c>
      <c r="G447" s="982"/>
      <c r="H447" s="982"/>
      <c r="I447" s="981"/>
    </row>
    <row r="448" spans="1:9" ht="15" x14ac:dyDescent="0.2">
      <c r="A448" s="981">
        <v>419</v>
      </c>
      <c r="B448" s="1008" t="s">
        <v>3704</v>
      </c>
      <c r="C448" s="980" t="s">
        <v>3520</v>
      </c>
      <c r="D448" s="980" t="s">
        <v>3934</v>
      </c>
      <c r="E448" s="987"/>
      <c r="F448" s="988" t="s">
        <v>3928</v>
      </c>
      <c r="G448" s="982"/>
      <c r="H448" s="982"/>
      <c r="I448" s="981"/>
    </row>
    <row r="449" spans="1:9" ht="15" x14ac:dyDescent="0.2">
      <c r="A449" s="981">
        <v>420</v>
      </c>
      <c r="B449" s="1008" t="s">
        <v>2664</v>
      </c>
      <c r="C449" s="980" t="s">
        <v>3520</v>
      </c>
      <c r="D449" s="980" t="s">
        <v>3936</v>
      </c>
      <c r="E449" s="987"/>
      <c r="F449" s="988" t="s">
        <v>3928</v>
      </c>
      <c r="G449" s="982"/>
      <c r="H449" s="982"/>
      <c r="I449" s="981"/>
    </row>
    <row r="450" spans="1:9" ht="15" x14ac:dyDescent="0.2">
      <c r="A450" s="981">
        <v>421</v>
      </c>
      <c r="B450" s="1008" t="s">
        <v>2781</v>
      </c>
      <c r="C450" s="980" t="s">
        <v>3520</v>
      </c>
      <c r="D450" s="980" t="s">
        <v>3228</v>
      </c>
      <c r="E450" s="987"/>
      <c r="F450" s="988" t="s">
        <v>3928</v>
      </c>
      <c r="G450" s="982"/>
      <c r="H450" s="982"/>
      <c r="I450" s="981"/>
    </row>
    <row r="451" spans="1:9" ht="15" x14ac:dyDescent="0.2">
      <c r="A451" s="981">
        <v>422</v>
      </c>
      <c r="B451" s="1008" t="s">
        <v>2851</v>
      </c>
      <c r="C451" s="980" t="s">
        <v>3520</v>
      </c>
      <c r="D451" s="980" t="s">
        <v>3261</v>
      </c>
      <c r="E451" s="1012">
        <v>43171</v>
      </c>
      <c r="F451" s="988" t="s">
        <v>3928</v>
      </c>
      <c r="G451" s="982"/>
      <c r="H451" s="982"/>
      <c r="I451" s="981"/>
    </row>
    <row r="452" spans="1:9" ht="25.5" x14ac:dyDescent="0.2">
      <c r="A452" s="981">
        <v>423</v>
      </c>
      <c r="B452" s="981" t="s">
        <v>3077</v>
      </c>
      <c r="C452" s="980" t="s">
        <v>3521</v>
      </c>
      <c r="D452" s="980" t="s">
        <v>3409</v>
      </c>
      <c r="E452" s="1012" t="s">
        <v>4068</v>
      </c>
      <c r="F452" s="988" t="s">
        <v>3928</v>
      </c>
      <c r="G452" s="982"/>
      <c r="H452" s="982"/>
      <c r="I452" s="981"/>
    </row>
    <row r="453" spans="1:9" ht="15" x14ac:dyDescent="0.2">
      <c r="A453" s="981">
        <v>424</v>
      </c>
      <c r="B453" s="1008" t="s">
        <v>3722</v>
      </c>
      <c r="C453" s="980" t="s">
        <v>3520</v>
      </c>
      <c r="D453" s="980" t="s">
        <v>3939</v>
      </c>
      <c r="E453" s="1012">
        <v>43171</v>
      </c>
      <c r="F453" s="988" t="s">
        <v>3928</v>
      </c>
      <c r="G453" s="982"/>
      <c r="H453" s="982"/>
      <c r="I453" s="981"/>
    </row>
    <row r="454" spans="1:9" ht="25.5" x14ac:dyDescent="0.2">
      <c r="A454" s="981">
        <v>425</v>
      </c>
      <c r="B454" s="1008" t="s">
        <v>3617</v>
      </c>
      <c r="C454" s="980" t="s">
        <v>3520</v>
      </c>
      <c r="D454" s="980" t="s">
        <v>3618</v>
      </c>
      <c r="E454" s="987" t="s">
        <v>3940</v>
      </c>
      <c r="F454" s="988" t="s">
        <v>3502</v>
      </c>
      <c r="G454" s="982"/>
      <c r="H454" s="982"/>
      <c r="I454" s="981"/>
    </row>
    <row r="455" spans="1:9" ht="25.5" x14ac:dyDescent="0.2">
      <c r="A455" s="981">
        <v>426</v>
      </c>
      <c r="B455" s="1008" t="s">
        <v>3080</v>
      </c>
      <c r="C455" s="980" t="s">
        <v>3520</v>
      </c>
      <c r="D455" s="980" t="s">
        <v>3941</v>
      </c>
      <c r="E455" s="987" t="s">
        <v>3942</v>
      </c>
      <c r="F455" s="988" t="s">
        <v>3502</v>
      </c>
      <c r="G455" s="982"/>
      <c r="H455" s="982"/>
      <c r="I455" s="981"/>
    </row>
    <row r="456" spans="1:9" ht="25.5" x14ac:dyDescent="0.2">
      <c r="A456" s="981">
        <v>427</v>
      </c>
      <c r="B456" s="1008" t="s">
        <v>2586</v>
      </c>
      <c r="C456" s="980" t="s">
        <v>3520</v>
      </c>
      <c r="D456" s="980" t="s">
        <v>38</v>
      </c>
      <c r="E456" s="987" t="s">
        <v>3943</v>
      </c>
      <c r="F456" s="988" t="s">
        <v>3502</v>
      </c>
      <c r="G456" s="982"/>
      <c r="H456" s="982"/>
      <c r="I456" s="981"/>
    </row>
    <row r="457" spans="1:9" ht="26.25" x14ac:dyDescent="0.25">
      <c r="A457" s="981">
        <v>428</v>
      </c>
      <c r="B457" s="1015" t="s">
        <v>2827</v>
      </c>
      <c r="C457" s="980" t="s">
        <v>3520</v>
      </c>
      <c r="D457" s="984" t="s">
        <v>3944</v>
      </c>
      <c r="E457" s="987" t="s">
        <v>3945</v>
      </c>
      <c r="F457" s="988" t="s">
        <v>3502</v>
      </c>
      <c r="G457" s="982"/>
      <c r="H457" s="982"/>
      <c r="I457" s="981"/>
    </row>
    <row r="458" spans="1:9" ht="15" x14ac:dyDescent="0.2">
      <c r="A458" s="981">
        <v>429</v>
      </c>
      <c r="B458" s="1008" t="s">
        <v>2901</v>
      </c>
      <c r="C458" s="980" t="s">
        <v>3520</v>
      </c>
      <c r="D458" s="980" t="s">
        <v>3954</v>
      </c>
      <c r="E458" s="981"/>
      <c r="F458" s="982"/>
      <c r="G458" s="982"/>
      <c r="H458" s="982"/>
      <c r="I458" s="981"/>
    </row>
    <row r="459" spans="1:9" x14ac:dyDescent="0.2">
      <c r="A459" s="981">
        <v>430</v>
      </c>
      <c r="B459" s="981" t="s">
        <v>3676</v>
      </c>
      <c r="C459" s="980" t="s">
        <v>3520</v>
      </c>
      <c r="D459" s="980" t="s">
        <v>2590</v>
      </c>
      <c r="E459" s="981"/>
      <c r="F459" s="982" t="s">
        <v>3928</v>
      </c>
      <c r="G459" s="982"/>
      <c r="H459" s="982"/>
      <c r="I459" s="981"/>
    </row>
    <row r="460" spans="1:9" x14ac:dyDescent="0.2">
      <c r="A460" s="981">
        <v>431</v>
      </c>
      <c r="B460" s="981" t="s">
        <v>2613</v>
      </c>
      <c r="C460" s="980" t="s">
        <v>3520</v>
      </c>
      <c r="D460" s="980" t="s">
        <v>4017</v>
      </c>
      <c r="E460" s="981"/>
      <c r="F460" s="982"/>
      <c r="G460" s="982"/>
      <c r="H460" s="982"/>
      <c r="I460" s="981"/>
    </row>
    <row r="461" spans="1:9" ht="15" x14ac:dyDescent="0.2">
      <c r="A461" s="981">
        <v>432</v>
      </c>
      <c r="B461" s="1008" t="s">
        <v>2257</v>
      </c>
      <c r="C461" s="980" t="s">
        <v>3520</v>
      </c>
      <c r="D461" s="980" t="s">
        <v>4018</v>
      </c>
      <c r="E461" s="981"/>
      <c r="F461" s="982"/>
      <c r="G461" s="982"/>
      <c r="H461" s="982"/>
      <c r="I461" s="981"/>
    </row>
    <row r="462" spans="1:9" ht="15" x14ac:dyDescent="0.2">
      <c r="A462" s="981">
        <v>433</v>
      </c>
      <c r="B462" s="1008" t="s">
        <v>2859</v>
      </c>
      <c r="C462" s="980" t="s">
        <v>3520</v>
      </c>
      <c r="D462" s="980" t="s">
        <v>4022</v>
      </c>
      <c r="E462" s="981"/>
      <c r="F462" s="982"/>
      <c r="G462" s="982"/>
      <c r="H462" s="982"/>
      <c r="I462" s="981"/>
    </row>
    <row r="463" spans="1:9" ht="15" x14ac:dyDescent="0.2">
      <c r="A463" s="981">
        <v>434</v>
      </c>
      <c r="B463" s="1008" t="s">
        <v>2552</v>
      </c>
      <c r="C463" s="980" t="s">
        <v>3520</v>
      </c>
      <c r="D463" s="980" t="s">
        <v>4023</v>
      </c>
      <c r="E463" s="981"/>
      <c r="F463" s="982"/>
      <c r="G463" s="982"/>
      <c r="H463" s="982"/>
      <c r="I463" s="981"/>
    </row>
    <row r="464" spans="1:9" ht="15" x14ac:dyDescent="0.2">
      <c r="A464" s="981">
        <v>435</v>
      </c>
      <c r="B464" s="1008" t="s">
        <v>2846</v>
      </c>
      <c r="C464" s="980" t="s">
        <v>3520</v>
      </c>
      <c r="D464" s="980" t="s">
        <v>4025</v>
      </c>
      <c r="E464" s="981"/>
      <c r="F464" s="988"/>
      <c r="G464" s="982"/>
      <c r="H464" s="982"/>
      <c r="I464" s="981"/>
    </row>
    <row r="465" spans="1:9" ht="25.5" x14ac:dyDescent="0.2">
      <c r="A465" s="981">
        <v>436</v>
      </c>
      <c r="B465" s="1008" t="s">
        <v>3573</v>
      </c>
      <c r="C465" s="980" t="s">
        <v>3520</v>
      </c>
      <c r="D465" s="980" t="s">
        <v>4026</v>
      </c>
      <c r="E465" s="987" t="s">
        <v>4040</v>
      </c>
      <c r="F465" s="988" t="s">
        <v>3502</v>
      </c>
      <c r="G465" s="982"/>
      <c r="H465" s="982"/>
      <c r="I465" s="981"/>
    </row>
    <row r="466" spans="1:9" ht="38.25" x14ac:dyDescent="0.2">
      <c r="A466" s="981">
        <v>437</v>
      </c>
      <c r="B466" s="1008" t="s">
        <v>3683</v>
      </c>
      <c r="C466" s="980" t="s">
        <v>3520</v>
      </c>
      <c r="D466" s="980" t="s">
        <v>4036</v>
      </c>
      <c r="E466" s="987" t="s">
        <v>4037</v>
      </c>
      <c r="F466" s="988" t="s">
        <v>3502</v>
      </c>
      <c r="G466" s="982"/>
      <c r="H466" s="982"/>
      <c r="I466" s="981"/>
    </row>
    <row r="467" spans="1:9" ht="25.5" x14ac:dyDescent="0.2">
      <c r="A467" s="981">
        <v>438</v>
      </c>
      <c r="B467" s="1008" t="s">
        <v>2943</v>
      </c>
      <c r="C467" s="980" t="s">
        <v>3520</v>
      </c>
      <c r="D467" s="980" t="s">
        <v>4038</v>
      </c>
      <c r="E467" s="987" t="s">
        <v>4039</v>
      </c>
      <c r="F467" s="988" t="s">
        <v>3502</v>
      </c>
      <c r="G467" s="982"/>
      <c r="H467" s="982"/>
      <c r="I467" s="981"/>
    </row>
    <row r="468" spans="1:9" ht="25.5" x14ac:dyDescent="0.2">
      <c r="A468" s="981">
        <v>439</v>
      </c>
      <c r="B468" s="1008" t="s">
        <v>2964</v>
      </c>
      <c r="C468" s="980" t="s">
        <v>3520</v>
      </c>
      <c r="D468" s="980" t="s">
        <v>4041</v>
      </c>
      <c r="E468" s="987" t="s">
        <v>4042</v>
      </c>
      <c r="F468" s="988" t="s">
        <v>3502</v>
      </c>
      <c r="G468" s="982"/>
      <c r="H468" s="982"/>
      <c r="I468" s="981"/>
    </row>
    <row r="469" spans="1:9" ht="25.5" x14ac:dyDescent="0.2">
      <c r="A469" s="981">
        <v>440</v>
      </c>
      <c r="B469" s="1008" t="s">
        <v>3611</v>
      </c>
      <c r="C469" s="980" t="s">
        <v>3520</v>
      </c>
      <c r="D469" s="980" t="s">
        <v>4043</v>
      </c>
      <c r="E469" s="987" t="s">
        <v>4044</v>
      </c>
      <c r="F469" s="988" t="s">
        <v>3502</v>
      </c>
      <c r="G469" s="982"/>
      <c r="H469" s="982"/>
      <c r="I469" s="981"/>
    </row>
    <row r="470" spans="1:9" ht="15" x14ac:dyDescent="0.2">
      <c r="A470" s="981">
        <v>441</v>
      </c>
      <c r="B470" s="1008" t="s">
        <v>4046</v>
      </c>
      <c r="C470" s="980" t="s">
        <v>3520</v>
      </c>
      <c r="D470" s="980" t="s">
        <v>73</v>
      </c>
      <c r="E470" s="981"/>
      <c r="F470" s="988"/>
      <c r="G470" s="982"/>
      <c r="H470" s="982"/>
      <c r="I470" s="981"/>
    </row>
    <row r="471" spans="1:9" ht="15" x14ac:dyDescent="0.2">
      <c r="A471" s="981">
        <v>442</v>
      </c>
      <c r="B471" s="1008" t="s">
        <v>23</v>
      </c>
      <c r="C471" s="980" t="s">
        <v>3520</v>
      </c>
      <c r="D471" s="980" t="s">
        <v>3926</v>
      </c>
      <c r="E471" s="981"/>
      <c r="F471" s="988"/>
      <c r="G471" s="982"/>
      <c r="H471" s="982"/>
      <c r="I471" s="981"/>
    </row>
    <row r="472" spans="1:9" ht="15" x14ac:dyDescent="0.2">
      <c r="A472" s="981">
        <v>443</v>
      </c>
      <c r="B472" s="1008" t="s">
        <v>225</v>
      </c>
      <c r="C472" s="980" t="s">
        <v>3520</v>
      </c>
      <c r="D472" s="980" t="s">
        <v>4047</v>
      </c>
      <c r="E472" s="981"/>
      <c r="F472" s="988"/>
      <c r="G472" s="982"/>
      <c r="H472" s="982"/>
      <c r="I472" s="981"/>
    </row>
    <row r="473" spans="1:9" ht="15" x14ac:dyDescent="0.2">
      <c r="A473" s="981">
        <v>444</v>
      </c>
      <c r="B473" s="1008" t="s">
        <v>214</v>
      </c>
      <c r="C473" s="980" t="s">
        <v>3520</v>
      </c>
      <c r="D473" s="980" t="s">
        <v>4050</v>
      </c>
      <c r="E473" s="981"/>
      <c r="F473" s="988"/>
      <c r="G473" s="982"/>
      <c r="H473" s="982"/>
      <c r="I473" s="981"/>
    </row>
    <row r="474" spans="1:9" ht="38.25" x14ac:dyDescent="0.2">
      <c r="A474" s="981">
        <v>445</v>
      </c>
      <c r="B474" s="981" t="s">
        <v>59</v>
      </c>
      <c r="C474" s="980" t="s">
        <v>3521</v>
      </c>
      <c r="D474" s="980" t="s">
        <v>60</v>
      </c>
      <c r="E474" s="981"/>
      <c r="F474" s="988" t="s">
        <v>3928</v>
      </c>
      <c r="G474" s="988" t="s">
        <v>4058</v>
      </c>
      <c r="H474" s="982"/>
      <c r="I474" s="981"/>
    </row>
    <row r="475" spans="1:9" ht="38.25" x14ac:dyDescent="0.2">
      <c r="A475" s="981">
        <v>446</v>
      </c>
      <c r="B475" s="981" t="s">
        <v>147</v>
      </c>
      <c r="C475" s="980" t="s">
        <v>3521</v>
      </c>
      <c r="D475" s="980" t="s">
        <v>148</v>
      </c>
      <c r="E475" s="981"/>
      <c r="F475" s="988" t="s">
        <v>3928</v>
      </c>
      <c r="G475" s="988" t="s">
        <v>4059</v>
      </c>
      <c r="H475" s="982"/>
      <c r="I475" s="981"/>
    </row>
    <row r="476" spans="1:9" ht="25.5" x14ac:dyDescent="0.2">
      <c r="A476" s="981">
        <v>447</v>
      </c>
      <c r="B476" s="1008" t="s">
        <v>2882</v>
      </c>
      <c r="C476" s="980" t="s">
        <v>3520</v>
      </c>
      <c r="D476" s="984" t="s">
        <v>1031</v>
      </c>
      <c r="E476" s="981"/>
      <c r="F476" s="988" t="s">
        <v>3928</v>
      </c>
      <c r="G476" s="982"/>
      <c r="H476" s="982"/>
      <c r="I476" s="981"/>
    </row>
    <row r="477" spans="1:9" ht="25.5" x14ac:dyDescent="0.2">
      <c r="A477" s="981">
        <v>448</v>
      </c>
      <c r="B477" s="981" t="s">
        <v>2710</v>
      </c>
      <c r="C477" s="980" t="s">
        <v>3520</v>
      </c>
      <c r="D477" s="980" t="s">
        <v>4062</v>
      </c>
      <c r="E477" s="987" t="s">
        <v>4063</v>
      </c>
      <c r="F477" s="988" t="s">
        <v>4064</v>
      </c>
      <c r="G477" s="988" t="s">
        <v>4163</v>
      </c>
      <c r="H477" s="982"/>
      <c r="I477" s="981"/>
    </row>
    <row r="478" spans="1:9" ht="24" customHeight="1" x14ac:dyDescent="0.2">
      <c r="A478" s="981">
        <v>449</v>
      </c>
      <c r="B478" s="981" t="s">
        <v>2809</v>
      </c>
      <c r="C478" s="980" t="s">
        <v>3521</v>
      </c>
      <c r="D478" s="980" t="s">
        <v>4065</v>
      </c>
      <c r="E478" s="1012" t="s">
        <v>4070</v>
      </c>
      <c r="F478" s="988" t="s">
        <v>4064</v>
      </c>
      <c r="G478" s="982"/>
      <c r="H478" s="982"/>
      <c r="I478" s="981"/>
    </row>
    <row r="479" spans="1:9" ht="25.5" x14ac:dyDescent="0.2">
      <c r="A479" s="981">
        <v>450</v>
      </c>
      <c r="B479" s="981" t="s">
        <v>2892</v>
      </c>
      <c r="C479" s="980" t="s">
        <v>3521</v>
      </c>
      <c r="D479" s="980" t="s">
        <v>4066</v>
      </c>
      <c r="E479" s="987" t="s">
        <v>4067</v>
      </c>
      <c r="F479" s="988" t="s">
        <v>4064</v>
      </c>
      <c r="G479" s="982"/>
      <c r="H479" s="982"/>
      <c r="I479" s="981"/>
    </row>
    <row r="480" spans="1:9" ht="25.5" x14ac:dyDescent="0.2">
      <c r="A480" s="981">
        <v>451</v>
      </c>
      <c r="B480" s="1008" t="s">
        <v>3740</v>
      </c>
      <c r="C480" s="980" t="s">
        <v>3520</v>
      </c>
      <c r="D480" s="980" t="s">
        <v>4069</v>
      </c>
      <c r="E480" s="987" t="s">
        <v>4073</v>
      </c>
      <c r="F480" s="982" t="s">
        <v>3928</v>
      </c>
      <c r="G480" s="982"/>
      <c r="H480" s="982"/>
      <c r="I480" s="981"/>
    </row>
    <row r="481" spans="1:9" ht="25.5" x14ac:dyDescent="0.2">
      <c r="A481" s="981">
        <v>452</v>
      </c>
      <c r="B481" s="981" t="s">
        <v>39</v>
      </c>
      <c r="C481" s="980" t="s">
        <v>3521</v>
      </c>
      <c r="D481" s="980" t="s">
        <v>3119</v>
      </c>
      <c r="E481" s="987" t="s">
        <v>4072</v>
      </c>
      <c r="F481" s="982" t="s">
        <v>4064</v>
      </c>
      <c r="G481" s="982"/>
      <c r="H481" s="982"/>
      <c r="I481" s="981"/>
    </row>
    <row r="482" spans="1:9" ht="25.5" x14ac:dyDescent="0.2">
      <c r="A482" s="981">
        <v>453</v>
      </c>
      <c r="B482" s="1008" t="s">
        <v>2669</v>
      </c>
      <c r="C482" s="980" t="s">
        <v>3520</v>
      </c>
      <c r="D482" s="980" t="s">
        <v>29</v>
      </c>
      <c r="E482" s="987" t="s">
        <v>4076</v>
      </c>
      <c r="F482" s="982" t="s">
        <v>4064</v>
      </c>
      <c r="G482" s="982"/>
      <c r="H482" s="982"/>
      <c r="I482" s="981"/>
    </row>
    <row r="483" spans="1:9" ht="15" x14ac:dyDescent="0.2">
      <c r="A483" s="981">
        <v>454</v>
      </c>
      <c r="B483" s="1008" t="s">
        <v>3599</v>
      </c>
      <c r="C483" s="980" t="s">
        <v>3520</v>
      </c>
      <c r="D483" s="980" t="s">
        <v>4077</v>
      </c>
      <c r="E483" s="981"/>
      <c r="F483" s="982"/>
      <c r="G483" s="982"/>
      <c r="H483" s="982"/>
      <c r="I483" s="981"/>
    </row>
    <row r="484" spans="1:9" ht="15" x14ac:dyDescent="0.2">
      <c r="A484" s="981">
        <v>455</v>
      </c>
      <c r="B484" s="1008" t="s">
        <v>3014</v>
      </c>
      <c r="C484" s="980" t="s">
        <v>3520</v>
      </c>
      <c r="D484" s="980" t="s">
        <v>1602</v>
      </c>
      <c r="E484" s="981"/>
      <c r="F484" s="982"/>
      <c r="G484" s="982"/>
      <c r="H484" s="982"/>
      <c r="I484" s="981"/>
    </row>
    <row r="485" spans="1:9" ht="15" x14ac:dyDescent="0.2">
      <c r="A485" s="981">
        <v>456</v>
      </c>
      <c r="B485" s="1008" t="s">
        <v>54</v>
      </c>
      <c r="C485" s="980" t="s">
        <v>3520</v>
      </c>
      <c r="D485" s="980" t="s">
        <v>3437</v>
      </c>
      <c r="E485" s="981"/>
      <c r="F485" s="982"/>
      <c r="G485" s="982"/>
      <c r="H485" s="982"/>
      <c r="I485" s="981"/>
    </row>
    <row r="486" spans="1:9" ht="15" x14ac:dyDescent="0.2">
      <c r="A486" s="981">
        <v>457</v>
      </c>
      <c r="B486" s="1008" t="s">
        <v>136</v>
      </c>
      <c r="C486" s="980" t="s">
        <v>3520</v>
      </c>
      <c r="D486" s="980" t="s">
        <v>4085</v>
      </c>
      <c r="E486" s="981"/>
      <c r="F486" s="982"/>
      <c r="G486" s="982"/>
      <c r="H486" s="982"/>
      <c r="I486" s="981"/>
    </row>
    <row r="487" spans="1:9" ht="15" x14ac:dyDescent="0.2">
      <c r="A487" s="981">
        <v>458</v>
      </c>
      <c r="B487" s="1008" t="s">
        <v>178</v>
      </c>
      <c r="C487" s="980" t="s">
        <v>3520</v>
      </c>
      <c r="D487" s="980" t="s">
        <v>3189</v>
      </c>
      <c r="E487" s="981"/>
      <c r="F487" s="982"/>
      <c r="G487" s="982"/>
      <c r="H487" s="982"/>
      <c r="I487" s="981"/>
    </row>
    <row r="488" spans="1:9" ht="15" x14ac:dyDescent="0.2">
      <c r="A488" s="981">
        <v>459</v>
      </c>
      <c r="B488" s="1008" t="s">
        <v>119</v>
      </c>
      <c r="C488" s="980" t="s">
        <v>3520</v>
      </c>
      <c r="D488" s="980" t="s">
        <v>398</v>
      </c>
      <c r="E488" s="981"/>
      <c r="F488" s="982"/>
      <c r="G488" s="982"/>
      <c r="H488" s="982"/>
      <c r="I488" s="981"/>
    </row>
    <row r="489" spans="1:9" ht="15" x14ac:dyDescent="0.2">
      <c r="A489" s="981">
        <v>460</v>
      </c>
      <c r="B489" s="1008" t="s">
        <v>129</v>
      </c>
      <c r="C489" s="980" t="s">
        <v>3520</v>
      </c>
      <c r="D489" s="980" t="s">
        <v>1019</v>
      </c>
      <c r="E489" s="981"/>
      <c r="F489" s="982"/>
      <c r="G489" s="982"/>
      <c r="H489" s="982"/>
      <c r="I489" s="981"/>
    </row>
    <row r="490" spans="1:9" ht="15" x14ac:dyDescent="0.2">
      <c r="A490" s="981">
        <v>461</v>
      </c>
      <c r="B490" s="1008" t="s">
        <v>207</v>
      </c>
      <c r="C490" s="980" t="s">
        <v>3520</v>
      </c>
      <c r="D490" s="980" t="s">
        <v>3601</v>
      </c>
      <c r="E490" s="981"/>
      <c r="F490" s="988"/>
      <c r="G490" s="982"/>
      <c r="H490" s="982"/>
      <c r="I490" s="981"/>
    </row>
    <row r="491" spans="1:9" ht="15" x14ac:dyDescent="0.2">
      <c r="A491" s="981">
        <v>462</v>
      </c>
      <c r="B491" s="1008" t="s">
        <v>599</v>
      </c>
      <c r="C491" s="980" t="s">
        <v>3520</v>
      </c>
      <c r="D491" s="980" t="s">
        <v>4091</v>
      </c>
      <c r="E491" s="981"/>
      <c r="F491" s="988"/>
      <c r="G491" s="982"/>
      <c r="H491" s="982"/>
      <c r="I491" s="981"/>
    </row>
    <row r="492" spans="1:9" ht="15" x14ac:dyDescent="0.2">
      <c r="A492" s="981">
        <v>463</v>
      </c>
      <c r="B492" s="1008" t="s">
        <v>61</v>
      </c>
      <c r="C492" s="980" t="s">
        <v>3520</v>
      </c>
      <c r="D492" s="980" t="s">
        <v>436</v>
      </c>
      <c r="E492" s="981"/>
      <c r="F492" s="988"/>
      <c r="G492" s="982"/>
      <c r="H492" s="982"/>
      <c r="I492" s="981"/>
    </row>
    <row r="493" spans="1:9" ht="15" x14ac:dyDescent="0.2">
      <c r="A493" s="981">
        <v>464</v>
      </c>
      <c r="B493" s="1008" t="s">
        <v>216</v>
      </c>
      <c r="C493" s="980" t="s">
        <v>3520</v>
      </c>
      <c r="D493" s="980" t="s">
        <v>4094</v>
      </c>
      <c r="E493" s="981"/>
      <c r="F493" s="988"/>
      <c r="G493" s="982"/>
      <c r="H493" s="982"/>
      <c r="I493" s="981"/>
    </row>
    <row r="494" spans="1:9" ht="15" x14ac:dyDescent="0.2">
      <c r="A494" s="981">
        <v>465</v>
      </c>
      <c r="B494" s="1008" t="s">
        <v>116</v>
      </c>
      <c r="C494" s="980" t="s">
        <v>3520</v>
      </c>
      <c r="D494" s="980" t="s">
        <v>418</v>
      </c>
      <c r="E494" s="981"/>
      <c r="F494" s="988"/>
      <c r="G494" s="982"/>
      <c r="H494" s="982"/>
      <c r="I494" s="981"/>
    </row>
    <row r="495" spans="1:9" ht="15" x14ac:dyDescent="0.2">
      <c r="A495" s="981">
        <v>466</v>
      </c>
      <c r="B495" s="1008" t="s">
        <v>589</v>
      </c>
      <c r="C495" s="980" t="s">
        <v>3520</v>
      </c>
      <c r="D495" s="980" t="s">
        <v>426</v>
      </c>
      <c r="E495" s="981"/>
      <c r="F495" s="988"/>
      <c r="G495" s="982"/>
      <c r="H495" s="982"/>
      <c r="I495" s="981"/>
    </row>
    <row r="496" spans="1:9" ht="15" x14ac:dyDescent="0.2">
      <c r="A496" s="981">
        <v>467</v>
      </c>
      <c r="B496" s="1008" t="s">
        <v>112</v>
      </c>
      <c r="C496" s="980" t="s">
        <v>3520</v>
      </c>
      <c r="D496" s="980" t="s">
        <v>430</v>
      </c>
      <c r="E496" s="981"/>
      <c r="F496" s="988"/>
      <c r="G496" s="982"/>
      <c r="H496" s="982"/>
      <c r="I496" s="981"/>
    </row>
    <row r="497" spans="1:9" ht="25.5" x14ac:dyDescent="0.2">
      <c r="A497" s="981">
        <v>468</v>
      </c>
      <c r="B497" s="981" t="s">
        <v>3773</v>
      </c>
      <c r="C497" s="980" t="s">
        <v>3521</v>
      </c>
      <c r="D497" s="980" t="s">
        <v>4115</v>
      </c>
      <c r="E497" s="987" t="s">
        <v>4116</v>
      </c>
      <c r="F497" s="988" t="s">
        <v>3502</v>
      </c>
      <c r="G497" s="982"/>
      <c r="H497" s="982"/>
      <c r="I497" s="981"/>
    </row>
    <row r="498" spans="1:9" ht="25.5" x14ac:dyDescent="0.2">
      <c r="A498" s="981">
        <v>469</v>
      </c>
      <c r="B498" s="981" t="s">
        <v>3636</v>
      </c>
      <c r="C498" s="980" t="s">
        <v>3520</v>
      </c>
      <c r="D498" s="980" t="s">
        <v>4117</v>
      </c>
      <c r="E498" s="987" t="s">
        <v>4118</v>
      </c>
      <c r="F498" s="988" t="s">
        <v>3502</v>
      </c>
      <c r="G498" s="982"/>
      <c r="H498" s="982"/>
      <c r="I498" s="981"/>
    </row>
    <row r="499" spans="1:9" ht="25.5" x14ac:dyDescent="0.2">
      <c r="A499" s="981">
        <v>470</v>
      </c>
      <c r="B499" s="1008" t="s">
        <v>2835</v>
      </c>
      <c r="C499" s="980" t="s">
        <v>3520</v>
      </c>
      <c r="D499" s="980" t="s">
        <v>3174</v>
      </c>
      <c r="E499" s="987" t="s">
        <v>4119</v>
      </c>
      <c r="F499" s="988" t="s">
        <v>3502</v>
      </c>
      <c r="G499" s="982"/>
      <c r="H499" s="982"/>
      <c r="I499" s="981"/>
    </row>
    <row r="500" spans="1:9" ht="25.5" x14ac:dyDescent="0.2">
      <c r="A500" s="981">
        <v>471</v>
      </c>
      <c r="B500" s="981" t="s">
        <v>2636</v>
      </c>
      <c r="C500" s="980" t="s">
        <v>3521</v>
      </c>
      <c r="D500" s="980" t="s">
        <v>4120</v>
      </c>
      <c r="E500" s="987" t="s">
        <v>4121</v>
      </c>
      <c r="F500" s="988" t="s">
        <v>3502</v>
      </c>
      <c r="G500" s="982"/>
      <c r="H500" s="982"/>
      <c r="I500" s="981"/>
    </row>
    <row r="501" spans="1:9" ht="25.5" x14ac:dyDescent="0.2">
      <c r="A501" s="981">
        <v>472</v>
      </c>
      <c r="B501" s="981" t="s">
        <v>3558</v>
      </c>
      <c r="C501" s="980" t="s">
        <v>3521</v>
      </c>
      <c r="D501" s="980" t="s">
        <v>4122</v>
      </c>
      <c r="E501" s="987" t="s">
        <v>4123</v>
      </c>
      <c r="F501" s="988" t="s">
        <v>3502</v>
      </c>
      <c r="G501" s="982"/>
      <c r="H501" s="982"/>
      <c r="I501" s="981"/>
    </row>
    <row r="502" spans="1:9" ht="25.5" x14ac:dyDescent="0.2">
      <c r="A502" s="981">
        <v>473</v>
      </c>
      <c r="B502" s="981" t="s">
        <v>3003</v>
      </c>
      <c r="C502" s="980" t="s">
        <v>3520</v>
      </c>
      <c r="D502" s="980" t="s">
        <v>4124</v>
      </c>
      <c r="E502" s="987" t="s">
        <v>4125</v>
      </c>
      <c r="F502" s="988" t="s">
        <v>3502</v>
      </c>
      <c r="G502" s="982"/>
      <c r="H502" s="982"/>
      <c r="I502" s="981"/>
    </row>
    <row r="503" spans="1:9" ht="25.5" x14ac:dyDescent="0.2">
      <c r="A503" s="981">
        <v>474</v>
      </c>
      <c r="B503" s="981" t="s">
        <v>3920</v>
      </c>
      <c r="C503" s="980" t="s">
        <v>3521</v>
      </c>
      <c r="D503" s="980" t="s">
        <v>4126</v>
      </c>
      <c r="E503" s="987" t="s">
        <v>4127</v>
      </c>
      <c r="F503" s="988" t="s">
        <v>3502</v>
      </c>
      <c r="G503" s="988" t="s">
        <v>4164</v>
      </c>
      <c r="H503" s="982"/>
      <c r="I503" s="981"/>
    </row>
    <row r="504" spans="1:9" ht="25.5" x14ac:dyDescent="0.2">
      <c r="A504" s="981">
        <v>475</v>
      </c>
      <c r="B504" s="981" t="s">
        <v>2831</v>
      </c>
      <c r="C504" s="980" t="s">
        <v>3521</v>
      </c>
      <c r="D504" s="980" t="s">
        <v>4128</v>
      </c>
      <c r="E504" s="987" t="s">
        <v>4129</v>
      </c>
      <c r="F504" s="988" t="s">
        <v>3502</v>
      </c>
      <c r="G504" s="988" t="s">
        <v>4165</v>
      </c>
      <c r="H504" s="982"/>
      <c r="I504" s="981"/>
    </row>
    <row r="505" spans="1:9" ht="25.5" x14ac:dyDescent="0.2">
      <c r="A505" s="981">
        <v>476</v>
      </c>
      <c r="B505" s="981" t="s">
        <v>2568</v>
      </c>
      <c r="C505" s="980" t="s">
        <v>3521</v>
      </c>
      <c r="D505" s="980" t="s">
        <v>144</v>
      </c>
      <c r="E505" s="1012" t="s">
        <v>4130</v>
      </c>
      <c r="F505" s="988" t="s">
        <v>3502</v>
      </c>
      <c r="G505" s="982"/>
      <c r="H505" s="982"/>
      <c r="I505" s="981"/>
    </row>
    <row r="506" spans="1:9" ht="25.5" x14ac:dyDescent="0.2">
      <c r="A506" s="981">
        <v>477</v>
      </c>
      <c r="B506" s="1008" t="s">
        <v>3851</v>
      </c>
      <c r="C506" s="980" t="s">
        <v>3520</v>
      </c>
      <c r="D506" s="980" t="s">
        <v>4131</v>
      </c>
      <c r="E506" s="987" t="s">
        <v>4132</v>
      </c>
      <c r="F506" s="988" t="s">
        <v>3502</v>
      </c>
      <c r="G506" s="982"/>
      <c r="H506" s="982"/>
      <c r="I506" s="981"/>
    </row>
    <row r="507" spans="1:9" ht="25.5" x14ac:dyDescent="0.2">
      <c r="A507" s="981">
        <v>478</v>
      </c>
      <c r="B507" s="981" t="s">
        <v>3792</v>
      </c>
      <c r="C507" s="980" t="s">
        <v>3521</v>
      </c>
      <c r="D507" s="980" t="s">
        <v>4069</v>
      </c>
      <c r="E507" s="987" t="s">
        <v>4158</v>
      </c>
      <c r="F507" s="988" t="s">
        <v>3928</v>
      </c>
      <c r="G507" s="982"/>
      <c r="H507" s="982"/>
      <c r="I507" s="981"/>
    </row>
    <row r="508" spans="1:9" ht="25.5" x14ac:dyDescent="0.2">
      <c r="A508" s="981">
        <v>479</v>
      </c>
      <c r="B508" s="981" t="s">
        <v>3666</v>
      </c>
      <c r="C508" s="980" t="s">
        <v>3521</v>
      </c>
      <c r="D508" s="980" t="s">
        <v>3667</v>
      </c>
      <c r="E508" s="987" t="s">
        <v>4159</v>
      </c>
      <c r="F508" s="988" t="s">
        <v>3928</v>
      </c>
      <c r="G508" s="982"/>
      <c r="H508" s="982"/>
      <c r="I508" s="981"/>
    </row>
    <row r="509" spans="1:9" ht="25.5" x14ac:dyDescent="0.2">
      <c r="A509" s="981">
        <v>480</v>
      </c>
      <c r="B509" s="1008" t="s">
        <v>2868</v>
      </c>
      <c r="C509" s="980" t="s">
        <v>3520</v>
      </c>
      <c r="D509" s="980" t="s">
        <v>2633</v>
      </c>
      <c r="E509" s="987" t="s">
        <v>4160</v>
      </c>
      <c r="F509" s="988" t="s">
        <v>3928</v>
      </c>
      <c r="G509" s="982"/>
      <c r="H509" s="982"/>
      <c r="I509" s="981"/>
    </row>
    <row r="510" spans="1:9" x14ac:dyDescent="0.2">
      <c r="A510" s="981">
        <v>481</v>
      </c>
      <c r="B510" s="981" t="s">
        <v>1589</v>
      </c>
      <c r="C510" s="980" t="s">
        <v>3520</v>
      </c>
      <c r="D510" s="980" t="s">
        <v>4168</v>
      </c>
      <c r="E510" s="981"/>
      <c r="F510" s="988"/>
      <c r="G510" s="982"/>
      <c r="H510" s="982"/>
      <c r="I510" s="981"/>
    </row>
    <row r="511" spans="1:9" ht="22.5" x14ac:dyDescent="0.2">
      <c r="A511" s="981">
        <v>482</v>
      </c>
      <c r="B511" s="1062" t="s">
        <v>2712</v>
      </c>
      <c r="C511" s="890" t="s">
        <v>3520</v>
      </c>
      <c r="D511" s="890" t="s">
        <v>2713</v>
      </c>
      <c r="E511" s="981"/>
      <c r="F511" s="988"/>
      <c r="G511" s="982"/>
      <c r="H511" s="982"/>
      <c r="I511" s="981"/>
    </row>
    <row r="512" spans="1:9" ht="25.5" x14ac:dyDescent="0.2">
      <c r="A512" s="981">
        <v>483</v>
      </c>
      <c r="B512" s="981" t="s">
        <v>3000</v>
      </c>
      <c r="C512" s="980" t="s">
        <v>3521</v>
      </c>
      <c r="D512" s="980" t="s">
        <v>4336</v>
      </c>
      <c r="E512" s="987" t="s">
        <v>4337</v>
      </c>
      <c r="F512" s="988" t="s">
        <v>3928</v>
      </c>
      <c r="G512" s="982"/>
      <c r="H512" s="982"/>
      <c r="I512" s="981"/>
    </row>
    <row r="513" spans="1:9" ht="25.5" x14ac:dyDescent="0.2">
      <c r="A513" s="981">
        <v>484</v>
      </c>
      <c r="B513" s="981" t="s">
        <v>3092</v>
      </c>
      <c r="C513" s="980" t="s">
        <v>3521</v>
      </c>
      <c r="D513" s="980" t="s">
        <v>4338</v>
      </c>
      <c r="E513" s="987" t="s">
        <v>4339</v>
      </c>
      <c r="F513" s="988" t="s">
        <v>3928</v>
      </c>
      <c r="G513" s="982"/>
      <c r="H513" s="982"/>
      <c r="I513" s="981"/>
    </row>
    <row r="514" spans="1:9" ht="25.5" x14ac:dyDescent="0.2">
      <c r="A514" s="981">
        <v>485</v>
      </c>
      <c r="B514" s="981" t="s">
        <v>3095</v>
      </c>
      <c r="C514" s="980" t="s">
        <v>3521</v>
      </c>
      <c r="D514" s="980" t="s">
        <v>4340</v>
      </c>
      <c r="E514" s="987" t="s">
        <v>4341</v>
      </c>
      <c r="F514" s="988" t="s">
        <v>3928</v>
      </c>
      <c r="G514" s="982"/>
      <c r="H514" s="982"/>
      <c r="I514" s="981"/>
    </row>
    <row r="515" spans="1:9" ht="25.5" x14ac:dyDescent="0.2">
      <c r="A515" s="981">
        <v>486</v>
      </c>
      <c r="B515" s="981" t="s">
        <v>3798</v>
      </c>
      <c r="C515" s="980" t="s">
        <v>3521</v>
      </c>
      <c r="D515" s="980" t="s">
        <v>4342</v>
      </c>
      <c r="E515" s="987" t="s">
        <v>4343</v>
      </c>
      <c r="F515" s="988" t="s">
        <v>3928</v>
      </c>
      <c r="G515" s="982"/>
      <c r="H515" s="982"/>
      <c r="I515" s="981"/>
    </row>
    <row r="516" spans="1:9" ht="15" x14ac:dyDescent="0.2">
      <c r="A516" s="981">
        <v>487</v>
      </c>
      <c r="B516" s="1008" t="s">
        <v>2022</v>
      </c>
      <c r="C516" s="980" t="s">
        <v>3520</v>
      </c>
      <c r="D516" s="980" t="s">
        <v>3204</v>
      </c>
      <c r="E516" s="981"/>
      <c r="F516" s="988"/>
      <c r="G516" s="982"/>
      <c r="H516" s="982"/>
      <c r="I516" s="981"/>
    </row>
    <row r="517" spans="1:9" ht="15" x14ac:dyDescent="0.2">
      <c r="A517" s="981">
        <v>488</v>
      </c>
      <c r="B517" s="1008" t="s">
        <v>4344</v>
      </c>
      <c r="C517" s="980" t="s">
        <v>3520</v>
      </c>
      <c r="D517" s="980" t="s">
        <v>4345</v>
      </c>
      <c r="E517" s="981"/>
      <c r="F517" s="988"/>
      <c r="G517" s="982"/>
      <c r="H517" s="982"/>
      <c r="I517" s="981"/>
    </row>
    <row r="518" spans="1:9" ht="15" x14ac:dyDescent="0.2">
      <c r="A518" s="981">
        <v>489</v>
      </c>
      <c r="B518" s="1008" t="s">
        <v>190</v>
      </c>
      <c r="C518" s="980" t="s">
        <v>3520</v>
      </c>
      <c r="D518" s="980" t="s">
        <v>4346</v>
      </c>
      <c r="E518" s="981"/>
      <c r="F518" s="988"/>
      <c r="G518" s="982"/>
      <c r="H518" s="982"/>
      <c r="I518" s="981"/>
    </row>
    <row r="519" spans="1:9" ht="25.5" x14ac:dyDescent="0.2">
      <c r="A519" s="981">
        <v>490</v>
      </c>
      <c r="B519" s="1008" t="s">
        <v>49</v>
      </c>
      <c r="C519" s="980" t="s">
        <v>3520</v>
      </c>
      <c r="D519" s="984" t="s">
        <v>1021</v>
      </c>
      <c r="E519" s="981"/>
      <c r="F519" s="988"/>
      <c r="G519" s="982"/>
      <c r="H519" s="982"/>
      <c r="I519" s="981"/>
    </row>
    <row r="520" spans="1:9" ht="15" x14ac:dyDescent="0.2">
      <c r="A520" s="981">
        <v>491</v>
      </c>
      <c r="B520" s="1008" t="s">
        <v>14</v>
      </c>
      <c r="C520" s="980" t="s">
        <v>3520</v>
      </c>
      <c r="D520" s="980" t="s">
        <v>4349</v>
      </c>
      <c r="E520" s="981"/>
      <c r="F520" s="988"/>
      <c r="G520" s="982"/>
      <c r="H520" s="982"/>
      <c r="I520" s="981"/>
    </row>
    <row r="521" spans="1:9" ht="15" x14ac:dyDescent="0.2">
      <c r="A521" s="981">
        <v>492</v>
      </c>
      <c r="B521" s="1008" t="s">
        <v>229</v>
      </c>
      <c r="C521" s="980" t="s">
        <v>3520</v>
      </c>
      <c r="D521" s="980" t="s">
        <v>4351</v>
      </c>
      <c r="E521" s="981"/>
      <c r="F521" s="988"/>
      <c r="G521" s="982"/>
      <c r="H521" s="982"/>
      <c r="I521" s="981"/>
    </row>
    <row r="522" spans="1:9" ht="15" x14ac:dyDescent="0.2">
      <c r="A522" s="981">
        <v>493</v>
      </c>
      <c r="B522" s="1008" t="s">
        <v>32</v>
      </c>
      <c r="C522" s="980" t="s">
        <v>3520</v>
      </c>
      <c r="D522" s="980" t="s">
        <v>3189</v>
      </c>
      <c r="E522" s="981"/>
      <c r="F522" s="988"/>
      <c r="G522" s="982"/>
      <c r="H522" s="982"/>
      <c r="I522" s="981"/>
    </row>
    <row r="523" spans="1:9" ht="15" x14ac:dyDescent="0.2">
      <c r="A523" s="981">
        <v>494</v>
      </c>
      <c r="B523" s="1008" t="s">
        <v>50</v>
      </c>
      <c r="C523" s="980" t="s">
        <v>3520</v>
      </c>
      <c r="D523" s="980" t="s">
        <v>4355</v>
      </c>
      <c r="E523" s="981"/>
      <c r="F523" s="988"/>
      <c r="G523" s="982"/>
      <c r="H523" s="982"/>
      <c r="I523" s="981"/>
    </row>
    <row r="524" spans="1:9" ht="15" x14ac:dyDescent="0.2">
      <c r="A524" s="981">
        <v>495</v>
      </c>
      <c r="B524" s="1008" t="s">
        <v>72</v>
      </c>
      <c r="C524" s="980" t="s">
        <v>3520</v>
      </c>
      <c r="D524" s="980" t="s">
        <v>73</v>
      </c>
      <c r="E524" s="981"/>
      <c r="F524" s="988"/>
      <c r="G524" s="982"/>
      <c r="H524" s="982"/>
      <c r="I524" s="981"/>
    </row>
    <row r="525" spans="1:9" ht="15" x14ac:dyDescent="0.2">
      <c r="A525" s="981">
        <v>496</v>
      </c>
      <c r="B525" s="1008" t="s">
        <v>17</v>
      </c>
      <c r="C525" s="980" t="s">
        <v>3520</v>
      </c>
      <c r="D525" s="980" t="s">
        <v>18</v>
      </c>
      <c r="E525" s="981"/>
      <c r="F525" s="988"/>
      <c r="G525" s="982"/>
      <c r="H525" s="982"/>
      <c r="I525" s="981"/>
    </row>
    <row r="526" spans="1:9" x14ac:dyDescent="0.2">
      <c r="A526" s="981">
        <v>497</v>
      </c>
      <c r="B526" s="981"/>
      <c r="C526" s="980"/>
      <c r="D526" s="980"/>
      <c r="E526" s="981"/>
      <c r="F526" s="988"/>
      <c r="G526" s="982"/>
      <c r="H526" s="982"/>
      <c r="I526" s="981"/>
    </row>
    <row r="527" spans="1:9" x14ac:dyDescent="0.2">
      <c r="A527" s="981">
        <v>498</v>
      </c>
      <c r="B527" s="981"/>
      <c r="C527" s="980"/>
      <c r="D527" s="980"/>
      <c r="E527" s="981"/>
      <c r="F527" s="988"/>
      <c r="G527" s="982"/>
      <c r="H527" s="982"/>
      <c r="I527" s="981"/>
    </row>
    <row r="528" spans="1:9" x14ac:dyDescent="0.2">
      <c r="A528" s="981">
        <v>499</v>
      </c>
      <c r="B528" s="981"/>
      <c r="C528" s="980"/>
      <c r="D528" s="980"/>
      <c r="E528" s="981"/>
      <c r="F528" s="988"/>
      <c r="G528" s="982"/>
      <c r="H528" s="982"/>
      <c r="I528" s="981"/>
    </row>
    <row r="529" spans="1:9" x14ac:dyDescent="0.2">
      <c r="A529" s="981">
        <v>500</v>
      </c>
      <c r="B529" s="981"/>
      <c r="C529" s="980"/>
      <c r="D529" s="980"/>
      <c r="E529" s="981"/>
      <c r="F529" s="988"/>
      <c r="G529" s="982"/>
      <c r="H529" s="982"/>
      <c r="I529" s="981"/>
    </row>
    <row r="530" spans="1:9" x14ac:dyDescent="0.2">
      <c r="A530" s="981">
        <v>501</v>
      </c>
      <c r="B530" s="981"/>
      <c r="C530" s="980"/>
      <c r="D530" s="980"/>
      <c r="E530" s="981"/>
      <c r="F530" s="988"/>
      <c r="G530" s="982"/>
      <c r="H530" s="982"/>
      <c r="I530" s="981"/>
    </row>
    <row r="531" spans="1:9" x14ac:dyDescent="0.2">
      <c r="A531" s="981">
        <v>502</v>
      </c>
      <c r="B531" s="981"/>
      <c r="C531" s="980"/>
      <c r="D531" s="980"/>
      <c r="E531" s="981"/>
      <c r="F531" s="988"/>
      <c r="G531" s="982"/>
      <c r="H531" s="982"/>
      <c r="I531" s="981"/>
    </row>
    <row r="532" spans="1:9" x14ac:dyDescent="0.2">
      <c r="A532" s="981">
        <v>503</v>
      </c>
      <c r="B532" s="981"/>
      <c r="C532" s="980"/>
      <c r="D532" s="980"/>
      <c r="E532" s="981"/>
      <c r="F532" s="988"/>
      <c r="G532" s="982"/>
      <c r="H532" s="982"/>
      <c r="I532" s="981"/>
    </row>
    <row r="533" spans="1:9" x14ac:dyDescent="0.2">
      <c r="A533" s="981">
        <v>504</v>
      </c>
      <c r="B533" s="981"/>
      <c r="C533" s="980"/>
      <c r="D533" s="980"/>
      <c r="E533" s="981"/>
      <c r="F533" s="988"/>
      <c r="G533" s="982"/>
      <c r="H533" s="982"/>
      <c r="I533" s="981"/>
    </row>
    <row r="534" spans="1:9" x14ac:dyDescent="0.2">
      <c r="A534" s="981">
        <v>505</v>
      </c>
      <c r="B534" s="981"/>
      <c r="C534" s="980"/>
      <c r="D534" s="980"/>
      <c r="E534" s="981"/>
      <c r="F534" s="988"/>
      <c r="G534" s="982"/>
      <c r="H534" s="982"/>
      <c r="I534" s="981"/>
    </row>
    <row r="535" spans="1:9" x14ac:dyDescent="0.2">
      <c r="A535" s="981">
        <v>506</v>
      </c>
      <c r="B535" s="981"/>
      <c r="C535" s="980"/>
      <c r="D535" s="980"/>
      <c r="E535" s="981"/>
      <c r="F535" s="988"/>
      <c r="G535" s="982"/>
      <c r="H535" s="982"/>
      <c r="I535" s="981"/>
    </row>
    <row r="536" spans="1:9" x14ac:dyDescent="0.2">
      <c r="A536" s="981">
        <v>507</v>
      </c>
      <c r="B536" s="981"/>
      <c r="C536" s="980"/>
      <c r="D536" s="980"/>
      <c r="E536" s="981"/>
      <c r="F536" s="988"/>
      <c r="G536" s="982"/>
      <c r="H536" s="982"/>
      <c r="I536" s="981"/>
    </row>
    <row r="537" spans="1:9" x14ac:dyDescent="0.2">
      <c r="A537" s="981">
        <v>508</v>
      </c>
      <c r="B537" s="981"/>
      <c r="C537" s="980"/>
      <c r="D537" s="980"/>
      <c r="E537" s="981"/>
      <c r="F537" s="982"/>
      <c r="G537" s="982"/>
      <c r="H537" s="982"/>
      <c r="I537" s="981"/>
    </row>
    <row r="538" spans="1:9" x14ac:dyDescent="0.2">
      <c r="A538" s="981">
        <v>509</v>
      </c>
      <c r="B538" s="981"/>
      <c r="C538" s="980"/>
      <c r="D538" s="980"/>
      <c r="E538" s="981"/>
      <c r="F538" s="982"/>
      <c r="G538" s="982"/>
      <c r="H538" s="982"/>
      <c r="I538" s="981"/>
    </row>
    <row r="539" spans="1:9" x14ac:dyDescent="0.2">
      <c r="A539" s="981">
        <v>510</v>
      </c>
      <c r="B539" s="981"/>
      <c r="C539" s="980"/>
      <c r="D539" s="980"/>
      <c r="E539" s="981"/>
      <c r="F539" s="982"/>
      <c r="G539" s="982"/>
      <c r="H539" s="982"/>
      <c r="I539" s="981"/>
    </row>
    <row r="540" spans="1:9" x14ac:dyDescent="0.2">
      <c r="A540" s="981">
        <v>511</v>
      </c>
      <c r="B540" s="981"/>
      <c r="C540" s="980"/>
      <c r="D540" s="980"/>
      <c r="E540" s="981"/>
      <c r="F540" s="982"/>
      <c r="G540" s="982"/>
      <c r="H540" s="982"/>
      <c r="I540" s="981"/>
    </row>
    <row r="541" spans="1:9" x14ac:dyDescent="0.2">
      <c r="A541" s="981">
        <v>512</v>
      </c>
      <c r="B541" s="980"/>
      <c r="C541" s="980"/>
      <c r="D541" s="980"/>
      <c r="E541" s="981"/>
      <c r="F541" s="982"/>
      <c r="G541" s="982"/>
      <c r="H541" s="982"/>
      <c r="I541" s="981"/>
    </row>
    <row r="542" spans="1:9" x14ac:dyDescent="0.2">
      <c r="A542" s="981">
        <v>513</v>
      </c>
      <c r="B542" s="980"/>
      <c r="C542" s="980"/>
      <c r="D542" s="980"/>
      <c r="E542" s="981"/>
      <c r="F542" s="982"/>
      <c r="G542" s="982"/>
      <c r="H542" s="982"/>
      <c r="I542" s="981"/>
    </row>
    <row r="543" spans="1:9" x14ac:dyDescent="0.2">
      <c r="A543" s="981">
        <v>514</v>
      </c>
      <c r="B543" s="980"/>
      <c r="C543" s="980"/>
      <c r="D543" s="980"/>
      <c r="E543" s="981"/>
      <c r="F543" s="982"/>
      <c r="G543" s="982"/>
      <c r="H543" s="982"/>
      <c r="I543" s="981"/>
    </row>
    <row r="544" spans="1:9" x14ac:dyDescent="0.2">
      <c r="A544" s="981">
        <v>515</v>
      </c>
      <c r="B544" s="980"/>
      <c r="C544" s="980"/>
      <c r="D544" s="980"/>
      <c r="E544" s="981"/>
      <c r="F544" s="982"/>
      <c r="G544" s="982"/>
      <c r="H544" s="982"/>
      <c r="I544" s="981"/>
    </row>
    <row r="545" spans="1:9" ht="15" x14ac:dyDescent="0.25">
      <c r="A545" s="981">
        <v>516</v>
      </c>
      <c r="B545" s="1063"/>
      <c r="C545" s="980"/>
      <c r="D545" s="980"/>
      <c r="E545" s="981"/>
      <c r="F545" s="982"/>
      <c r="G545" s="982"/>
      <c r="H545" s="982"/>
      <c r="I545" s="981"/>
    </row>
    <row r="546" spans="1:9" x14ac:dyDescent="0.2">
      <c r="A546" s="981">
        <v>517</v>
      </c>
      <c r="B546" s="980"/>
      <c r="C546" s="980"/>
      <c r="D546" s="980"/>
      <c r="E546" s="981"/>
      <c r="F546" s="982"/>
      <c r="G546" s="982"/>
      <c r="H546" s="982"/>
      <c r="I546" s="981"/>
    </row>
  </sheetData>
  <autoFilter ref="A1:I546">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422" r:id="rId320"/>
    <hyperlink ref="B425" r:id="rId321"/>
    <hyperlink ref="B430" r:id="rId322"/>
    <hyperlink ref="B499" r:id="rId323"/>
    <hyperlink ref="B506" r:id="rId324"/>
    <hyperlink ref="B15" r:id="rId325"/>
    <hyperlink ref="B25" r:id="rId326"/>
    <hyperlink ref="B102" r:id="rId327"/>
    <hyperlink ref="B509" r:id="rId328"/>
    <hyperlink ref="B511" r:id="rId329"/>
    <hyperlink ref="B401" r:id="rId330"/>
    <hyperlink ref="B516" r:id="rId331"/>
    <hyperlink ref="B517" r:id="rId332"/>
    <hyperlink ref="B518" r:id="rId333"/>
    <hyperlink ref="B519" r:id="rId334"/>
    <hyperlink ref="B520" r:id="rId335"/>
    <hyperlink ref="B521" r:id="rId336"/>
    <hyperlink ref="B522" r:id="rId337"/>
    <hyperlink ref="B480" r:id="rId338"/>
    <hyperlink ref="B523" r:id="rId339"/>
    <hyperlink ref="B524" r:id="rId340"/>
    <hyperlink ref="B525" r:id="rId341"/>
  </hyperlinks>
  <pageMargins left="0.7" right="0.7" top="0.75" bottom="0.75" header="0.3" footer="0.3"/>
  <pageSetup orientation="portrait" r:id="rId3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79" t="s">
        <v>960</v>
      </c>
      <c r="B4" s="1079"/>
      <c r="C4" s="1079"/>
      <c r="D4" s="1079"/>
      <c r="E4" s="1079"/>
      <c r="F4" s="1079"/>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51" t="s">
        <v>1000</v>
      </c>
      <c r="B13" s="1052">
        <v>1</v>
      </c>
      <c r="C13" s="59"/>
      <c r="D13" s="116"/>
      <c r="E13" s="116"/>
      <c r="F13" s="116"/>
      <c r="G13" s="59"/>
    </row>
    <row r="14" spans="1:7" customFormat="1" x14ac:dyDescent="0.25">
      <c r="A14" s="1053" t="s">
        <v>1057</v>
      </c>
      <c r="B14" s="1054" t="s">
        <v>392</v>
      </c>
      <c r="C14" s="59"/>
      <c r="D14" s="116"/>
      <c r="E14" s="116"/>
      <c r="F14" s="116"/>
      <c r="G14" s="59"/>
    </row>
    <row r="15" spans="1:7" customFormat="1" x14ac:dyDescent="0.25">
      <c r="A15" s="417"/>
      <c r="B15" s="71"/>
      <c r="C15" s="59"/>
      <c r="D15" s="116"/>
      <c r="E15" s="116"/>
      <c r="F15" s="116"/>
      <c r="G15" s="59"/>
    </row>
    <row r="16" spans="1:7" customFormat="1" ht="33.75" x14ac:dyDescent="0.25">
      <c r="A16" s="1048" t="s">
        <v>393</v>
      </c>
      <c r="B16" s="1049" t="s">
        <v>956</v>
      </c>
      <c r="C16" s="1049" t="s">
        <v>1060</v>
      </c>
      <c r="D16" s="1050" t="s">
        <v>955</v>
      </c>
      <c r="E16" s="1050" t="s">
        <v>957</v>
      </c>
      <c r="F16" s="1050" t="s">
        <v>958</v>
      </c>
      <c r="G16" s="59"/>
    </row>
    <row r="17" spans="1:7" customFormat="1" x14ac:dyDescent="0.25">
      <c r="A17" s="843" t="s">
        <v>92</v>
      </c>
      <c r="B17" s="1043"/>
      <c r="C17" s="1043"/>
      <c r="D17" s="1044"/>
      <c r="E17" s="1044"/>
      <c r="F17" s="1044"/>
      <c r="G17" s="59"/>
    </row>
    <row r="18" spans="1:7" customFormat="1" x14ac:dyDescent="0.25">
      <c r="A18" s="843" t="s">
        <v>425</v>
      </c>
      <c r="B18" s="1043"/>
      <c r="C18" s="1043"/>
      <c r="D18" s="1044"/>
      <c r="E18" s="1044"/>
      <c r="F18" s="1044"/>
      <c r="G18" s="59"/>
    </row>
    <row r="19" spans="1:7" customFormat="1" ht="105" x14ac:dyDescent="0.25">
      <c r="A19" s="843" t="s">
        <v>438</v>
      </c>
      <c r="B19" s="1043">
        <v>39724</v>
      </c>
      <c r="C19" s="1043">
        <v>41673</v>
      </c>
      <c r="D19" s="1044">
        <v>7329236109</v>
      </c>
      <c r="E19" s="1044">
        <v>6218260556</v>
      </c>
      <c r="F19" s="1044">
        <v>1110975553</v>
      </c>
      <c r="G19" s="59"/>
    </row>
    <row r="20" spans="1:7" customFormat="1" x14ac:dyDescent="0.25">
      <c r="A20" s="843" t="s">
        <v>151</v>
      </c>
      <c r="B20" s="1043"/>
      <c r="C20" s="1043"/>
      <c r="D20" s="1044"/>
      <c r="E20" s="1044"/>
      <c r="F20" s="1044"/>
      <c r="G20" s="59"/>
    </row>
    <row r="21" spans="1:7" customFormat="1" x14ac:dyDescent="0.25">
      <c r="A21" s="843" t="s">
        <v>152</v>
      </c>
      <c r="B21" s="1043"/>
      <c r="C21" s="1043"/>
      <c r="D21" s="1044"/>
      <c r="E21" s="1044"/>
      <c r="F21" s="1044"/>
      <c r="G21" s="59"/>
    </row>
    <row r="22" spans="1:7" customFormat="1" ht="45" x14ac:dyDescent="0.25">
      <c r="A22" s="843" t="s">
        <v>439</v>
      </c>
      <c r="B22" s="1043">
        <v>39904</v>
      </c>
      <c r="C22" s="1043">
        <v>41486</v>
      </c>
      <c r="D22" s="1044">
        <v>3100400677</v>
      </c>
      <c r="E22" s="1044">
        <v>3066561119</v>
      </c>
      <c r="F22" s="1044">
        <v>33839558</v>
      </c>
      <c r="G22" s="59"/>
    </row>
    <row r="23" spans="1:7" customFormat="1" x14ac:dyDescent="0.25">
      <c r="A23" s="843" t="s">
        <v>149</v>
      </c>
      <c r="B23" s="1043"/>
      <c r="C23" s="1043"/>
      <c r="D23" s="1044"/>
      <c r="E23" s="1044"/>
      <c r="F23" s="1044"/>
      <c r="G23" s="59"/>
    </row>
    <row r="24" spans="1:7" customFormat="1" x14ac:dyDescent="0.25">
      <c r="A24" s="843" t="s">
        <v>150</v>
      </c>
      <c r="B24" s="1043"/>
      <c r="C24" s="1043"/>
      <c r="D24" s="1044"/>
      <c r="E24" s="1044"/>
      <c r="F24" s="1044"/>
      <c r="G24" s="59"/>
    </row>
    <row r="25" spans="1:7" customFormat="1" ht="60" x14ac:dyDescent="0.25">
      <c r="A25" s="843" t="s">
        <v>1277</v>
      </c>
      <c r="B25" s="1043">
        <v>39864</v>
      </c>
      <c r="C25" s="1043">
        <v>41476</v>
      </c>
      <c r="D25" s="1044">
        <v>2909992591</v>
      </c>
      <c r="E25" s="1044">
        <v>13400894</v>
      </c>
      <c r="F25" s="1044">
        <v>2896591697</v>
      </c>
      <c r="G25" s="59"/>
    </row>
    <row r="26" spans="1:7" customFormat="1" x14ac:dyDescent="0.25">
      <c r="A26" s="843" t="s">
        <v>21</v>
      </c>
      <c r="B26" s="1043"/>
      <c r="C26" s="1043"/>
      <c r="D26" s="1044"/>
      <c r="E26" s="1044"/>
      <c r="F26" s="1044"/>
      <c r="G26" s="59"/>
    </row>
    <row r="27" spans="1:7" customFormat="1" x14ac:dyDescent="0.25">
      <c r="A27" s="843" t="s">
        <v>22</v>
      </c>
      <c r="B27" s="1043"/>
      <c r="C27" s="1043"/>
      <c r="D27" s="1044"/>
      <c r="E27" s="1044"/>
      <c r="F27" s="1044"/>
      <c r="G27" s="59"/>
    </row>
    <row r="28" spans="1:7" customFormat="1" x14ac:dyDescent="0.25">
      <c r="A28" s="843" t="s">
        <v>321</v>
      </c>
      <c r="B28" s="1043">
        <v>41087</v>
      </c>
      <c r="C28" s="1043">
        <v>41513</v>
      </c>
      <c r="D28" s="1044">
        <v>79634000</v>
      </c>
      <c r="E28" s="1044">
        <v>79634000</v>
      </c>
      <c r="F28" s="1044">
        <v>0</v>
      </c>
      <c r="G28" s="59"/>
    </row>
    <row r="29" spans="1:7" customFormat="1" x14ac:dyDescent="0.25">
      <c r="A29" s="843" t="s">
        <v>103</v>
      </c>
      <c r="B29" s="1043"/>
      <c r="C29" s="1043"/>
      <c r="D29" s="1044"/>
      <c r="E29" s="1044"/>
      <c r="F29" s="1044"/>
      <c r="G29" s="59"/>
    </row>
    <row r="30" spans="1:7" customFormat="1" x14ac:dyDescent="0.25">
      <c r="A30" s="843" t="s">
        <v>1636</v>
      </c>
      <c r="B30" s="1043"/>
      <c r="C30" s="1043"/>
      <c r="D30" s="1044"/>
      <c r="E30" s="1044"/>
      <c r="F30" s="1044"/>
      <c r="G30" s="59"/>
    </row>
    <row r="31" spans="1:7" customFormat="1" ht="45" x14ac:dyDescent="0.25">
      <c r="A31" s="843" t="s">
        <v>448</v>
      </c>
      <c r="B31" s="1043">
        <v>41213</v>
      </c>
      <c r="C31" s="1043">
        <v>41274</v>
      </c>
      <c r="D31" s="1044">
        <v>4206160</v>
      </c>
      <c r="E31" s="1044">
        <v>0</v>
      </c>
      <c r="F31" s="1044">
        <v>4206160</v>
      </c>
      <c r="G31" s="59"/>
    </row>
    <row r="32" spans="1:7" customFormat="1" x14ac:dyDescent="0.25">
      <c r="A32" s="843" t="s">
        <v>179</v>
      </c>
      <c r="B32" s="1043"/>
      <c r="C32" s="1043"/>
      <c r="D32" s="1044"/>
      <c r="E32" s="1044"/>
      <c r="F32" s="1044"/>
      <c r="G32" s="59"/>
    </row>
    <row r="33" spans="1:7" customFormat="1" x14ac:dyDescent="0.25">
      <c r="A33" s="843" t="s">
        <v>433</v>
      </c>
      <c r="B33" s="1043"/>
      <c r="C33" s="1043"/>
      <c r="D33" s="1044"/>
      <c r="E33" s="1044"/>
      <c r="F33" s="1044"/>
      <c r="G33" s="59"/>
    </row>
    <row r="34" spans="1:7" customFormat="1" ht="45" x14ac:dyDescent="0.25">
      <c r="A34" s="843" t="s">
        <v>449</v>
      </c>
      <c r="B34" s="1043">
        <v>41206</v>
      </c>
      <c r="C34" s="1043">
        <v>41609</v>
      </c>
      <c r="D34" s="1044">
        <v>726335435</v>
      </c>
      <c r="E34" s="1044">
        <v>577978609</v>
      </c>
      <c r="F34" s="1044">
        <v>148356826</v>
      </c>
      <c r="G34" s="59"/>
    </row>
    <row r="35" spans="1:7" customFormat="1" x14ac:dyDescent="0.25">
      <c r="A35" s="843" t="s">
        <v>180</v>
      </c>
      <c r="B35" s="1043"/>
      <c r="C35" s="1043"/>
      <c r="D35" s="1044"/>
      <c r="E35" s="1044"/>
      <c r="F35" s="1044"/>
      <c r="G35" s="59"/>
    </row>
    <row r="36" spans="1:7" customFormat="1" x14ac:dyDescent="0.25">
      <c r="A36" s="843" t="s">
        <v>181</v>
      </c>
      <c r="B36" s="1043"/>
      <c r="C36" s="1043"/>
      <c r="D36" s="1044"/>
      <c r="E36" s="1044"/>
      <c r="F36" s="1044"/>
      <c r="G36" s="59"/>
    </row>
    <row r="37" spans="1:7" customFormat="1" ht="75" x14ac:dyDescent="0.25">
      <c r="A37" s="843" t="s">
        <v>440</v>
      </c>
      <c r="B37" s="1043">
        <v>40197</v>
      </c>
      <c r="C37" s="1043">
        <v>41323</v>
      </c>
      <c r="D37" s="1044">
        <v>234495075</v>
      </c>
      <c r="E37" s="1044">
        <v>234495075</v>
      </c>
      <c r="F37" s="1044">
        <v>0</v>
      </c>
      <c r="G37" s="59"/>
    </row>
    <row r="38" spans="1:7" customFormat="1" x14ac:dyDescent="0.25">
      <c r="A38" s="843" t="s">
        <v>56</v>
      </c>
      <c r="B38" s="1043"/>
      <c r="C38" s="1043"/>
      <c r="D38" s="1044"/>
      <c r="E38" s="1044"/>
      <c r="F38" s="1044"/>
      <c r="G38" s="59"/>
    </row>
    <row r="39" spans="1:7" customFormat="1" x14ac:dyDescent="0.25">
      <c r="A39" s="843" t="s">
        <v>57</v>
      </c>
      <c r="B39" s="1043"/>
      <c r="C39" s="1043"/>
      <c r="D39" s="1044"/>
      <c r="E39" s="1044"/>
      <c r="F39" s="1044"/>
      <c r="G39" s="59"/>
    </row>
    <row r="40" spans="1:7" customFormat="1" ht="30" x14ac:dyDescent="0.25">
      <c r="A40" s="843" t="s">
        <v>335</v>
      </c>
      <c r="B40" s="1043">
        <v>41025</v>
      </c>
      <c r="C40" s="1043">
        <v>41623</v>
      </c>
      <c r="D40" s="1044">
        <v>71096157</v>
      </c>
      <c r="E40" s="1044">
        <v>71096157</v>
      </c>
      <c r="F40" s="1044">
        <v>0</v>
      </c>
      <c r="G40" s="59"/>
    </row>
    <row r="41" spans="1:7" customFormat="1" x14ac:dyDescent="0.25">
      <c r="A41" s="843" t="s">
        <v>19</v>
      </c>
      <c r="B41" s="1043"/>
      <c r="C41" s="1043"/>
      <c r="D41" s="1044"/>
      <c r="E41" s="1044"/>
      <c r="F41" s="1044"/>
      <c r="G41" s="59"/>
    </row>
    <row r="42" spans="1:7" customFormat="1" x14ac:dyDescent="0.25">
      <c r="A42" s="843" t="s">
        <v>20</v>
      </c>
      <c r="B42" s="1043"/>
      <c r="C42" s="1043"/>
      <c r="D42" s="1044"/>
      <c r="E42" s="1044"/>
      <c r="F42" s="1044"/>
      <c r="G42" s="59"/>
    </row>
    <row r="43" spans="1:7" customFormat="1" ht="30" x14ac:dyDescent="0.25">
      <c r="A43" s="843" t="s">
        <v>320</v>
      </c>
      <c r="B43" s="1043">
        <v>41074</v>
      </c>
      <c r="C43" s="1043">
        <v>41347</v>
      </c>
      <c r="D43" s="1044">
        <v>11587500</v>
      </c>
      <c r="E43" s="1044">
        <v>10316808</v>
      </c>
      <c r="F43" s="1044">
        <v>1270692</v>
      </c>
      <c r="G43" s="59"/>
    </row>
    <row r="44" spans="1:7" customFormat="1" x14ac:dyDescent="0.25">
      <c r="A44" s="843" t="s">
        <v>23</v>
      </c>
      <c r="B44" s="1043"/>
      <c r="C44" s="1043"/>
      <c r="D44" s="1044"/>
      <c r="E44" s="1044"/>
      <c r="F44" s="1044"/>
      <c r="G44" s="59"/>
    </row>
    <row r="45" spans="1:7" customFormat="1" x14ac:dyDescent="0.25">
      <c r="A45" s="843" t="s">
        <v>27</v>
      </c>
      <c r="B45" s="1043"/>
      <c r="C45" s="1043"/>
      <c r="D45" s="1044"/>
      <c r="E45" s="1044"/>
      <c r="F45" s="1044"/>
      <c r="G45" s="59"/>
    </row>
    <row r="46" spans="1:7" customFormat="1" ht="45" x14ac:dyDescent="0.25">
      <c r="A46" s="843" t="s">
        <v>450</v>
      </c>
      <c r="B46" s="1043">
        <v>41044</v>
      </c>
      <c r="C46" s="1043">
        <v>41409</v>
      </c>
      <c r="D46" s="1044">
        <v>849000</v>
      </c>
      <c r="E46" s="1044">
        <v>849000</v>
      </c>
      <c r="F46" s="1044">
        <v>0</v>
      </c>
      <c r="G46" s="59"/>
    </row>
    <row r="47" spans="1:7" customFormat="1" x14ac:dyDescent="0.25">
      <c r="A47" s="843" t="s">
        <v>113</v>
      </c>
      <c r="B47" s="1043"/>
      <c r="C47" s="1043"/>
      <c r="D47" s="1044"/>
      <c r="E47" s="1044"/>
      <c r="F47" s="1044"/>
      <c r="G47" s="59"/>
    </row>
    <row r="48" spans="1:7" customFormat="1" x14ac:dyDescent="0.25">
      <c r="A48" s="843" t="s">
        <v>434</v>
      </c>
      <c r="B48" s="1043"/>
      <c r="C48" s="1043"/>
      <c r="D48" s="1044"/>
      <c r="E48" s="1044"/>
      <c r="F48" s="1044"/>
      <c r="G48" s="59"/>
    </row>
    <row r="49" spans="1:7" customFormat="1" ht="75" x14ac:dyDescent="0.25">
      <c r="A49" s="843" t="s">
        <v>1372</v>
      </c>
      <c r="B49" s="1043">
        <v>41089</v>
      </c>
      <c r="C49" s="1043">
        <v>41333</v>
      </c>
      <c r="D49" s="1044">
        <v>7192000</v>
      </c>
      <c r="E49" s="1044">
        <v>7192000</v>
      </c>
      <c r="F49" s="1044">
        <v>0</v>
      </c>
      <c r="G49" s="59"/>
    </row>
    <row r="50" spans="1:7" customFormat="1" x14ac:dyDescent="0.25">
      <c r="A50" s="843" t="s">
        <v>101</v>
      </c>
      <c r="B50" s="1043"/>
      <c r="C50" s="1043"/>
      <c r="D50" s="1044"/>
      <c r="E50" s="1044"/>
      <c r="F50" s="1044"/>
      <c r="G50" s="59"/>
    </row>
    <row r="51" spans="1:7" customFormat="1" x14ac:dyDescent="0.25">
      <c r="A51" s="843" t="s">
        <v>427</v>
      </c>
      <c r="B51" s="1043"/>
      <c r="C51" s="1043"/>
      <c r="D51" s="1044"/>
      <c r="E51" s="1044"/>
      <c r="F51" s="1044"/>
      <c r="G51" s="59"/>
    </row>
    <row r="52" spans="1:7" customFormat="1" ht="45" x14ac:dyDescent="0.25">
      <c r="A52" s="843" t="s">
        <v>443</v>
      </c>
      <c r="B52" s="1043">
        <v>40822</v>
      </c>
      <c r="C52" s="1043">
        <v>41370</v>
      </c>
      <c r="D52" s="1044">
        <v>2625000</v>
      </c>
      <c r="E52" s="1044">
        <v>0</v>
      </c>
      <c r="F52" s="1044">
        <v>2625000</v>
      </c>
      <c r="G52" s="59"/>
    </row>
    <row r="53" spans="1:7" customFormat="1" x14ac:dyDescent="0.25">
      <c r="A53" s="843" t="s">
        <v>16</v>
      </c>
      <c r="B53" s="1043"/>
      <c r="C53" s="1043"/>
      <c r="D53" s="1044"/>
      <c r="E53" s="1044"/>
      <c r="F53" s="1044"/>
      <c r="G53" s="59"/>
    </row>
    <row r="54" spans="1:7" customFormat="1" x14ac:dyDescent="0.25">
      <c r="A54" s="843" t="s">
        <v>435</v>
      </c>
      <c r="B54" s="1043"/>
      <c r="C54" s="1043"/>
      <c r="D54" s="1044"/>
      <c r="E54" s="1044"/>
      <c r="F54" s="1044"/>
      <c r="G54" s="59"/>
    </row>
    <row r="55" spans="1:7" customFormat="1" ht="45" x14ac:dyDescent="0.25">
      <c r="A55" s="843" t="s">
        <v>318</v>
      </c>
      <c r="B55" s="1043">
        <v>41144</v>
      </c>
      <c r="C55" s="1043">
        <v>41328</v>
      </c>
      <c r="D55" s="1044">
        <v>4839200</v>
      </c>
      <c r="E55" s="1044">
        <v>4839200</v>
      </c>
      <c r="F55" s="1044">
        <v>0</v>
      </c>
      <c r="G55" s="59"/>
    </row>
    <row r="56" spans="1:7" customFormat="1" x14ac:dyDescent="0.25">
      <c r="A56" s="843" t="s">
        <v>107</v>
      </c>
      <c r="B56" s="1043"/>
      <c r="C56" s="1043"/>
      <c r="D56" s="1044"/>
      <c r="E56" s="1044"/>
      <c r="F56" s="1044"/>
      <c r="G56" s="59"/>
    </row>
    <row r="57" spans="1:7" customFormat="1" x14ac:dyDescent="0.25">
      <c r="A57" s="843" t="s">
        <v>108</v>
      </c>
      <c r="B57" s="1043"/>
      <c r="C57" s="1043"/>
      <c r="D57" s="1044"/>
      <c r="E57" s="1044"/>
      <c r="F57" s="1044"/>
      <c r="G57" s="59"/>
    </row>
    <row r="58" spans="1:7" customFormat="1" ht="30" x14ac:dyDescent="0.25">
      <c r="A58" s="843" t="s">
        <v>348</v>
      </c>
      <c r="B58" s="1043">
        <v>41137</v>
      </c>
      <c r="C58" s="1043">
        <v>41349</v>
      </c>
      <c r="D58" s="1044">
        <v>13527752</v>
      </c>
      <c r="E58" s="1044">
        <v>0</v>
      </c>
      <c r="F58" s="1044">
        <v>13527752</v>
      </c>
      <c r="G58" s="59"/>
    </row>
    <row r="59" spans="1:7" customFormat="1" x14ac:dyDescent="0.25">
      <c r="A59" s="843" t="s">
        <v>61</v>
      </c>
      <c r="B59" s="1043"/>
      <c r="C59" s="1043"/>
      <c r="D59" s="1044"/>
      <c r="E59" s="1044"/>
      <c r="F59" s="1044"/>
      <c r="G59" s="59"/>
    </row>
    <row r="60" spans="1:7" customFormat="1" x14ac:dyDescent="0.25">
      <c r="A60" s="843" t="s">
        <v>436</v>
      </c>
      <c r="B60" s="1043"/>
      <c r="C60" s="1043"/>
      <c r="D60" s="1044"/>
      <c r="E60" s="1044"/>
      <c r="F60" s="1044"/>
      <c r="G60" s="59"/>
    </row>
    <row r="61" spans="1:7" customFormat="1" ht="60" x14ac:dyDescent="0.25">
      <c r="A61" s="843" t="s">
        <v>1373</v>
      </c>
      <c r="B61" s="1043">
        <v>41122</v>
      </c>
      <c r="C61" s="1043">
        <v>41531</v>
      </c>
      <c r="D61" s="1044">
        <v>100321355</v>
      </c>
      <c r="E61" s="1044">
        <v>95321355</v>
      </c>
      <c r="F61" s="1044">
        <v>5000000</v>
      </c>
      <c r="G61" s="59"/>
    </row>
    <row r="62" spans="1:7" customFormat="1" x14ac:dyDescent="0.25">
      <c r="A62" s="843" t="s">
        <v>58</v>
      </c>
      <c r="B62" s="1043"/>
      <c r="C62" s="1043"/>
      <c r="D62" s="1044"/>
      <c r="E62" s="1044"/>
      <c r="F62" s="1044"/>
      <c r="G62" s="59"/>
    </row>
    <row r="63" spans="1:7" customFormat="1" ht="30" x14ac:dyDescent="0.25">
      <c r="A63" s="843" t="s">
        <v>437</v>
      </c>
      <c r="B63" s="1043"/>
      <c r="C63" s="1043"/>
      <c r="D63" s="1044"/>
      <c r="E63" s="1044"/>
      <c r="F63" s="1044"/>
      <c r="G63" s="59"/>
    </row>
    <row r="64" spans="1:7" customFormat="1" ht="75" x14ac:dyDescent="0.25">
      <c r="A64" s="843" t="s">
        <v>1008</v>
      </c>
      <c r="B64" s="1043">
        <v>41122</v>
      </c>
      <c r="C64" s="1043">
        <v>41623</v>
      </c>
      <c r="D64" s="1044">
        <v>99122327</v>
      </c>
      <c r="E64" s="1044">
        <v>93840542</v>
      </c>
      <c r="F64" s="1044">
        <v>5281785</v>
      </c>
      <c r="G64" s="59"/>
    </row>
    <row r="65" spans="1:7" customFormat="1" x14ac:dyDescent="0.25">
      <c r="A65" s="843" t="s">
        <v>423</v>
      </c>
      <c r="B65" s="1043"/>
      <c r="C65" s="1043"/>
      <c r="D65" s="1044"/>
      <c r="E65" s="1044"/>
      <c r="F65" s="1044"/>
      <c r="G65" s="59"/>
    </row>
    <row r="66" spans="1:7" customFormat="1" x14ac:dyDescent="0.25">
      <c r="A66" s="843" t="s">
        <v>13</v>
      </c>
      <c r="B66" s="1043"/>
      <c r="C66" s="1043"/>
      <c r="D66" s="1044"/>
      <c r="E66" s="1044"/>
      <c r="F66" s="1044"/>
      <c r="G66" s="59"/>
    </row>
    <row r="67" spans="1:7" customFormat="1" ht="30" x14ac:dyDescent="0.25">
      <c r="A67" s="843" t="s">
        <v>451</v>
      </c>
      <c r="B67" s="1043">
        <v>41162</v>
      </c>
      <c r="C67" s="1043">
        <v>41527</v>
      </c>
      <c r="D67" s="1044">
        <v>900000</v>
      </c>
      <c r="E67" s="1044">
        <v>900000</v>
      </c>
      <c r="F67" s="1044">
        <v>0</v>
      </c>
      <c r="G67" s="59"/>
    </row>
    <row r="68" spans="1:7" customFormat="1" x14ac:dyDescent="0.25">
      <c r="A68" s="843" t="s">
        <v>28</v>
      </c>
      <c r="B68" s="1043"/>
      <c r="C68" s="1043"/>
      <c r="D68" s="1044"/>
      <c r="E68" s="1044"/>
      <c r="F68" s="1044"/>
      <c r="G68" s="59"/>
    </row>
    <row r="69" spans="1:7" customFormat="1" x14ac:dyDescent="0.25">
      <c r="A69" s="843" t="s">
        <v>29</v>
      </c>
      <c r="B69" s="1043"/>
      <c r="C69" s="1043"/>
      <c r="D69" s="1044"/>
      <c r="E69" s="1044"/>
      <c r="F69" s="1044"/>
      <c r="G69" s="59"/>
    </row>
    <row r="70" spans="1:7" customFormat="1" ht="30" x14ac:dyDescent="0.25">
      <c r="A70" s="843" t="s">
        <v>324</v>
      </c>
      <c r="B70" s="1043">
        <v>41165</v>
      </c>
      <c r="C70" s="1043">
        <v>41530</v>
      </c>
      <c r="D70" s="1044">
        <v>840000</v>
      </c>
      <c r="E70" s="1044">
        <v>840000</v>
      </c>
      <c r="F70" s="1044">
        <v>0</v>
      </c>
      <c r="G70" s="59"/>
    </row>
    <row r="71" spans="1:7" customFormat="1" x14ac:dyDescent="0.25">
      <c r="A71" s="843" t="s">
        <v>32</v>
      </c>
      <c r="B71" s="1043"/>
      <c r="C71" s="1043"/>
      <c r="D71" s="1044"/>
      <c r="E71" s="1044"/>
      <c r="F71" s="1044"/>
      <c r="G71" s="59"/>
    </row>
    <row r="72" spans="1:7" customFormat="1" x14ac:dyDescent="0.25">
      <c r="A72" s="843" t="s">
        <v>33</v>
      </c>
      <c r="B72" s="1043"/>
      <c r="C72" s="1043"/>
      <c r="D72" s="1044"/>
      <c r="E72" s="1044"/>
      <c r="F72" s="1044"/>
      <c r="G72" s="59"/>
    </row>
    <row r="73" spans="1:7" customFormat="1" ht="30" x14ac:dyDescent="0.25">
      <c r="A73" s="843" t="s">
        <v>452</v>
      </c>
      <c r="B73" s="1043">
        <v>41180</v>
      </c>
      <c r="C73" s="1043">
        <v>41545</v>
      </c>
      <c r="D73" s="1044">
        <v>795000</v>
      </c>
      <c r="E73" s="1044">
        <v>795000</v>
      </c>
      <c r="F73" s="1044">
        <v>0</v>
      </c>
      <c r="G73" s="59"/>
    </row>
    <row r="74" spans="1:7" customFormat="1" x14ac:dyDescent="0.25">
      <c r="A74" s="843" t="s">
        <v>109</v>
      </c>
      <c r="B74" s="1043"/>
      <c r="C74" s="1043"/>
      <c r="D74" s="1044"/>
      <c r="E74" s="1044"/>
      <c r="F74" s="1044"/>
      <c r="G74" s="59"/>
    </row>
    <row r="75" spans="1:7" customFormat="1" x14ac:dyDescent="0.25">
      <c r="A75" s="843" t="s">
        <v>420</v>
      </c>
      <c r="B75" s="1043"/>
      <c r="C75" s="1043"/>
      <c r="D75" s="1044"/>
      <c r="E75" s="1044"/>
      <c r="F75" s="1044"/>
      <c r="G75" s="59"/>
    </row>
    <row r="76" spans="1:7" customFormat="1" ht="45" x14ac:dyDescent="0.25">
      <c r="A76" s="843" t="s">
        <v>349</v>
      </c>
      <c r="B76" s="1043">
        <v>41165</v>
      </c>
      <c r="C76" s="1043">
        <v>41346</v>
      </c>
      <c r="D76" s="1044">
        <v>1818000</v>
      </c>
      <c r="E76" s="1044">
        <v>0</v>
      </c>
      <c r="F76" s="1044">
        <v>1818000</v>
      </c>
      <c r="G76" s="59"/>
    </row>
    <row r="77" spans="1:7" customFormat="1" x14ac:dyDescent="0.25">
      <c r="A77" s="843" t="s">
        <v>34</v>
      </c>
      <c r="B77" s="1043"/>
      <c r="C77" s="1043"/>
      <c r="D77" s="1044"/>
      <c r="E77" s="1044"/>
      <c r="F77" s="1044"/>
      <c r="G77" s="59"/>
    </row>
    <row r="78" spans="1:7" customFormat="1" x14ac:dyDescent="0.25">
      <c r="A78" s="843" t="s">
        <v>1009</v>
      </c>
      <c r="B78" s="1043"/>
      <c r="C78" s="1043"/>
      <c r="D78" s="1044"/>
      <c r="E78" s="1044"/>
      <c r="F78" s="1044"/>
      <c r="G78" s="59"/>
    </row>
    <row r="79" spans="1:7" customFormat="1" ht="30" x14ac:dyDescent="0.25">
      <c r="A79" s="843" t="s">
        <v>453</v>
      </c>
      <c r="B79" s="1043">
        <v>41151</v>
      </c>
      <c r="C79" s="1043">
        <v>41333</v>
      </c>
      <c r="D79" s="1044">
        <v>30000000</v>
      </c>
      <c r="E79" s="1044">
        <v>30000000</v>
      </c>
      <c r="F79" s="1044">
        <v>0</v>
      </c>
      <c r="G79" s="59"/>
    </row>
    <row r="80" spans="1:7" customFormat="1" x14ac:dyDescent="0.25">
      <c r="A80" s="843" t="s">
        <v>10</v>
      </c>
      <c r="B80" s="1043"/>
      <c r="C80" s="1043"/>
      <c r="D80" s="1044"/>
      <c r="E80" s="1044"/>
      <c r="F80" s="1044"/>
      <c r="G80" s="59"/>
    </row>
    <row r="81" spans="1:7" customFormat="1" x14ac:dyDescent="0.25">
      <c r="A81" s="843" t="s">
        <v>1010</v>
      </c>
      <c r="B81" s="1043"/>
      <c r="C81" s="1043"/>
      <c r="D81" s="1044"/>
      <c r="E81" s="1044"/>
      <c r="F81" s="1044"/>
      <c r="G81" s="59"/>
    </row>
    <row r="82" spans="1:7" customFormat="1" ht="75" x14ac:dyDescent="0.25">
      <c r="A82" s="843" t="s">
        <v>454</v>
      </c>
      <c r="B82" s="1043">
        <v>41155</v>
      </c>
      <c r="C82" s="1043">
        <v>41367</v>
      </c>
      <c r="D82" s="1044">
        <v>35000000</v>
      </c>
      <c r="E82" s="1044">
        <v>34666667</v>
      </c>
      <c r="F82" s="1044">
        <v>333333</v>
      </c>
      <c r="G82" s="59"/>
    </row>
    <row r="83" spans="1:7" customFormat="1" x14ac:dyDescent="0.25">
      <c r="A83" s="843" t="s">
        <v>114</v>
      </c>
      <c r="B83" s="1043"/>
      <c r="C83" s="1043"/>
      <c r="D83" s="1044"/>
      <c r="E83" s="1044"/>
      <c r="F83" s="1044"/>
      <c r="G83" s="59"/>
    </row>
    <row r="84" spans="1:7" customFormat="1" x14ac:dyDescent="0.25">
      <c r="A84" s="843" t="s">
        <v>115</v>
      </c>
      <c r="B84" s="1043"/>
      <c r="C84" s="1043"/>
      <c r="D84" s="1044"/>
      <c r="E84" s="1044"/>
      <c r="F84" s="1044"/>
      <c r="G84" s="59"/>
    </row>
    <row r="85" spans="1:7" customFormat="1" ht="60" x14ac:dyDescent="0.25">
      <c r="A85" s="843" t="s">
        <v>455</v>
      </c>
      <c r="B85" s="1043">
        <v>41170</v>
      </c>
      <c r="C85" s="1043">
        <v>41626</v>
      </c>
      <c r="D85" s="1044">
        <v>8334226</v>
      </c>
      <c r="E85" s="1044">
        <v>8334226</v>
      </c>
      <c r="F85" s="1044">
        <v>0</v>
      </c>
      <c r="G85" s="59"/>
    </row>
    <row r="86" spans="1:7" customFormat="1" x14ac:dyDescent="0.25">
      <c r="A86" s="843" t="s">
        <v>106</v>
      </c>
      <c r="B86" s="1043"/>
      <c r="C86" s="1043"/>
      <c r="D86" s="1044"/>
      <c r="E86" s="1044"/>
      <c r="F86" s="1044"/>
      <c r="G86" s="59"/>
    </row>
    <row r="87" spans="1:7" customFormat="1" x14ac:dyDescent="0.25">
      <c r="A87" s="843" t="s">
        <v>1011</v>
      </c>
      <c r="B87" s="1043"/>
      <c r="C87" s="1043"/>
      <c r="D87" s="1044"/>
      <c r="E87" s="1044"/>
      <c r="F87" s="1044"/>
      <c r="G87" s="59"/>
    </row>
    <row r="88" spans="1:7" customFormat="1" ht="45" x14ac:dyDescent="0.25">
      <c r="A88" s="843" t="s">
        <v>457</v>
      </c>
      <c r="B88" s="1043">
        <v>41162</v>
      </c>
      <c r="C88" s="1043">
        <v>41343</v>
      </c>
      <c r="D88" s="1044">
        <v>20565000</v>
      </c>
      <c r="E88" s="1044">
        <v>20565000</v>
      </c>
      <c r="F88" s="1044">
        <v>0</v>
      </c>
      <c r="G88" s="59"/>
    </row>
    <row r="89" spans="1:7" customFormat="1" x14ac:dyDescent="0.25">
      <c r="A89" s="843" t="s">
        <v>105</v>
      </c>
      <c r="B89" s="1043"/>
      <c r="C89" s="1043"/>
      <c r="D89" s="1044"/>
      <c r="E89" s="1044"/>
      <c r="F89" s="1044"/>
      <c r="G89" s="59"/>
    </row>
    <row r="90" spans="1:7" customFormat="1" x14ac:dyDescent="0.25">
      <c r="A90" s="843" t="s">
        <v>1012</v>
      </c>
      <c r="B90" s="1043"/>
      <c r="C90" s="1043"/>
      <c r="D90" s="1044"/>
      <c r="E90" s="1044"/>
      <c r="F90" s="1044"/>
      <c r="G90" s="59"/>
    </row>
    <row r="91" spans="1:7" customFormat="1" ht="45" x14ac:dyDescent="0.25">
      <c r="A91" s="843" t="s">
        <v>347</v>
      </c>
      <c r="B91" s="1043">
        <v>41193</v>
      </c>
      <c r="C91" s="1043">
        <v>41263</v>
      </c>
      <c r="D91" s="1044">
        <v>6730000</v>
      </c>
      <c r="E91" s="1044">
        <v>6395000</v>
      </c>
      <c r="F91" s="1044">
        <v>335000</v>
      </c>
      <c r="G91" s="59"/>
    </row>
    <row r="92" spans="1:7" customFormat="1" x14ac:dyDescent="0.25">
      <c r="A92" s="843" t="s">
        <v>17</v>
      </c>
      <c r="B92" s="1043"/>
      <c r="C92" s="1043"/>
      <c r="D92" s="1044"/>
      <c r="E92" s="1044"/>
      <c r="F92" s="1044"/>
      <c r="G92" s="59"/>
    </row>
    <row r="93" spans="1:7" customFormat="1" x14ac:dyDescent="0.25">
      <c r="A93" s="843" t="s">
        <v>18</v>
      </c>
      <c r="B93" s="1043"/>
      <c r="C93" s="1043"/>
      <c r="D93" s="1044"/>
      <c r="E93" s="1044"/>
      <c r="F93" s="1044"/>
      <c r="G93" s="59"/>
    </row>
    <row r="94" spans="1:7" customFormat="1" ht="45" x14ac:dyDescent="0.25">
      <c r="A94" s="843" t="s">
        <v>319</v>
      </c>
      <c r="B94" s="1043">
        <v>41205</v>
      </c>
      <c r="C94" s="1043">
        <v>41387</v>
      </c>
      <c r="D94" s="1044">
        <v>23994880</v>
      </c>
      <c r="E94" s="1044">
        <v>23994876</v>
      </c>
      <c r="F94" s="1044">
        <v>4</v>
      </c>
      <c r="G94" s="59"/>
    </row>
    <row r="95" spans="1:7" customFormat="1" x14ac:dyDescent="0.25">
      <c r="A95" s="843" t="s">
        <v>24</v>
      </c>
      <c r="B95" s="1043"/>
      <c r="C95" s="1043"/>
      <c r="D95" s="1044"/>
      <c r="E95" s="1044"/>
      <c r="F95" s="1044"/>
      <c r="G95" s="59"/>
    </row>
    <row r="96" spans="1:7" customFormat="1" x14ac:dyDescent="0.25">
      <c r="A96" s="843" t="s">
        <v>1013</v>
      </c>
      <c r="B96" s="1043"/>
      <c r="C96" s="1043"/>
      <c r="D96" s="1044"/>
      <c r="E96" s="1044"/>
      <c r="F96" s="1044"/>
      <c r="G96" s="59"/>
    </row>
    <row r="97" spans="1:7" customFormat="1" ht="30" x14ac:dyDescent="0.25">
      <c r="A97" s="843" t="s">
        <v>323</v>
      </c>
      <c r="B97" s="1043">
        <v>41187</v>
      </c>
      <c r="C97" s="1043">
        <v>41369</v>
      </c>
      <c r="D97" s="1044">
        <v>38400000</v>
      </c>
      <c r="E97" s="1044">
        <v>38400000</v>
      </c>
      <c r="F97" s="1044">
        <v>0</v>
      </c>
      <c r="G97" s="59"/>
    </row>
    <row r="98" spans="1:7" customFormat="1" x14ac:dyDescent="0.25">
      <c r="A98" s="843" t="s">
        <v>118</v>
      </c>
      <c r="B98" s="1043"/>
      <c r="C98" s="1043"/>
      <c r="D98" s="1044"/>
      <c r="E98" s="1044"/>
      <c r="F98" s="1044"/>
      <c r="G98" s="59"/>
    </row>
    <row r="99" spans="1:7" customFormat="1" x14ac:dyDescent="0.25">
      <c r="A99" s="843" t="s">
        <v>1014</v>
      </c>
      <c r="B99" s="1043"/>
      <c r="C99" s="1043"/>
      <c r="D99" s="1044"/>
      <c r="E99" s="1044"/>
      <c r="F99" s="1044"/>
      <c r="G99" s="59"/>
    </row>
    <row r="100" spans="1:7" customFormat="1" ht="45" x14ac:dyDescent="0.25">
      <c r="A100" s="843" t="s">
        <v>351</v>
      </c>
      <c r="B100" s="1043">
        <v>41246</v>
      </c>
      <c r="C100" s="1043">
        <v>41308</v>
      </c>
      <c r="D100" s="1044">
        <v>3961330</v>
      </c>
      <c r="E100" s="1044">
        <v>3961330</v>
      </c>
      <c r="F100" s="1044">
        <v>0</v>
      </c>
      <c r="G100" s="59"/>
    </row>
    <row r="101" spans="1:7" customFormat="1" x14ac:dyDescent="0.25">
      <c r="A101" s="843" t="s">
        <v>62</v>
      </c>
      <c r="B101" s="1043"/>
      <c r="C101" s="1043"/>
      <c r="D101" s="1044"/>
      <c r="E101" s="1044"/>
      <c r="F101" s="1044"/>
      <c r="G101" s="59"/>
    </row>
    <row r="102" spans="1:7" customFormat="1" x14ac:dyDescent="0.25">
      <c r="A102" s="843" t="s">
        <v>1015</v>
      </c>
      <c r="B102" s="1043"/>
      <c r="C102" s="1043"/>
      <c r="D102" s="1044"/>
      <c r="E102" s="1044"/>
      <c r="F102" s="1044"/>
      <c r="G102" s="59"/>
    </row>
    <row r="103" spans="1:7" customFormat="1" ht="75" x14ac:dyDescent="0.25">
      <c r="A103" s="843" t="s">
        <v>416</v>
      </c>
      <c r="B103" s="1043">
        <v>41270</v>
      </c>
      <c r="C103" s="1043">
        <v>41452</v>
      </c>
      <c r="D103" s="1044">
        <v>24000000</v>
      </c>
      <c r="E103" s="1044">
        <v>24000000</v>
      </c>
      <c r="F103" s="1044">
        <v>0</v>
      </c>
      <c r="G103" s="59"/>
    </row>
    <row r="104" spans="1:7" customFormat="1" x14ac:dyDescent="0.25">
      <c r="A104" s="843" t="s">
        <v>30</v>
      </c>
      <c r="B104" s="1043"/>
      <c r="C104" s="1043"/>
      <c r="D104" s="1044"/>
      <c r="E104" s="1044"/>
      <c r="F104" s="1044"/>
      <c r="G104" s="59"/>
    </row>
    <row r="105" spans="1:7" customFormat="1" x14ac:dyDescent="0.25">
      <c r="A105" s="843" t="s">
        <v>31</v>
      </c>
      <c r="B105" s="1043"/>
      <c r="C105" s="1043"/>
      <c r="D105" s="1044"/>
      <c r="E105" s="1044"/>
      <c r="F105" s="1044"/>
      <c r="G105" s="59"/>
    </row>
    <row r="106" spans="1:7" customFormat="1" ht="60" x14ac:dyDescent="0.25">
      <c r="A106" s="843" t="s">
        <v>325</v>
      </c>
      <c r="B106" s="1043">
        <v>41292</v>
      </c>
      <c r="C106" s="1043">
        <v>41350</v>
      </c>
      <c r="D106" s="1044">
        <v>6000000</v>
      </c>
      <c r="E106" s="1044">
        <v>6000000</v>
      </c>
      <c r="F106" s="1044">
        <v>0</v>
      </c>
      <c r="G106" s="59"/>
    </row>
    <row r="107" spans="1:7" customFormat="1" x14ac:dyDescent="0.25">
      <c r="A107" s="843" t="s">
        <v>14</v>
      </c>
      <c r="B107" s="1043"/>
      <c r="C107" s="1043"/>
      <c r="D107" s="1044"/>
      <c r="E107" s="1044"/>
      <c r="F107" s="1044"/>
      <c r="G107" s="59"/>
    </row>
    <row r="108" spans="1:7" customFormat="1" x14ac:dyDescent="0.25">
      <c r="A108" s="843" t="s">
        <v>15</v>
      </c>
      <c r="B108" s="1043"/>
      <c r="C108" s="1043"/>
      <c r="D108" s="1044"/>
      <c r="E108" s="1044"/>
      <c r="F108" s="1044"/>
      <c r="G108" s="59"/>
    </row>
    <row r="109" spans="1:7" customFormat="1" ht="30" x14ac:dyDescent="0.25">
      <c r="A109" s="843" t="s">
        <v>317</v>
      </c>
      <c r="B109" s="1043">
        <v>41107</v>
      </c>
      <c r="C109" s="1043">
        <v>41472</v>
      </c>
      <c r="D109" s="1044">
        <v>7740000</v>
      </c>
      <c r="E109" s="1044">
        <v>7740000</v>
      </c>
      <c r="F109" s="1044">
        <v>0</v>
      </c>
      <c r="G109" s="59"/>
    </row>
    <row r="110" spans="1:7" customFormat="1" x14ac:dyDescent="0.25">
      <c r="A110" s="843" t="s">
        <v>40</v>
      </c>
      <c r="B110" s="1043"/>
      <c r="C110" s="1043"/>
      <c r="D110" s="1044"/>
      <c r="E110" s="1044"/>
      <c r="F110" s="1044"/>
      <c r="G110" s="59"/>
    </row>
    <row r="111" spans="1:7" customFormat="1" x14ac:dyDescent="0.25">
      <c r="A111" s="843" t="s">
        <v>41</v>
      </c>
      <c r="B111" s="1043"/>
      <c r="C111" s="1043"/>
      <c r="D111" s="1044"/>
      <c r="E111" s="1044"/>
      <c r="F111" s="1044"/>
      <c r="G111" s="59"/>
    </row>
    <row r="112" spans="1:7" customFormat="1" ht="30" x14ac:dyDescent="0.25">
      <c r="A112" s="843" t="s">
        <v>458</v>
      </c>
      <c r="B112" s="1043">
        <v>41064</v>
      </c>
      <c r="C112" s="1043">
        <v>41398</v>
      </c>
      <c r="D112" s="1044">
        <v>47000000</v>
      </c>
      <c r="E112" s="1044">
        <v>41245000</v>
      </c>
      <c r="F112" s="1044">
        <v>5755000</v>
      </c>
      <c r="G112" s="59"/>
    </row>
    <row r="113" spans="1:7" customFormat="1" x14ac:dyDescent="0.25">
      <c r="A113" s="843" t="s">
        <v>72</v>
      </c>
      <c r="B113" s="1043"/>
      <c r="C113" s="1043"/>
      <c r="D113" s="1044"/>
      <c r="E113" s="1044"/>
      <c r="F113" s="1044"/>
      <c r="G113" s="59"/>
    </row>
    <row r="114" spans="1:7" customFormat="1" x14ac:dyDescent="0.25">
      <c r="A114" s="843" t="s">
        <v>73</v>
      </c>
      <c r="B114" s="1043"/>
      <c r="C114" s="1043"/>
      <c r="D114" s="1044"/>
      <c r="E114" s="1044"/>
      <c r="F114" s="1044"/>
      <c r="G114" s="59"/>
    </row>
    <row r="115" spans="1:7" customFormat="1" ht="90" x14ac:dyDescent="0.25">
      <c r="A115" s="843" t="s">
        <v>395</v>
      </c>
      <c r="B115" s="1043">
        <v>41053</v>
      </c>
      <c r="C115" s="1043">
        <v>41400</v>
      </c>
      <c r="D115" s="1044">
        <v>950000000</v>
      </c>
      <c r="E115" s="1044">
        <v>950000000</v>
      </c>
      <c r="F115" s="1044">
        <v>0</v>
      </c>
      <c r="G115" s="59"/>
    </row>
    <row r="116" spans="1:7" customFormat="1" x14ac:dyDescent="0.25">
      <c r="A116" s="843" t="s">
        <v>396</v>
      </c>
      <c r="B116" s="1043"/>
      <c r="C116" s="1043"/>
      <c r="D116" s="1044"/>
      <c r="E116" s="1044"/>
      <c r="F116" s="1044"/>
      <c r="G116" s="59"/>
    </row>
    <row r="117" spans="1:7" customFormat="1" x14ac:dyDescent="0.25">
      <c r="A117" s="843" t="s">
        <v>203</v>
      </c>
      <c r="B117" s="1043"/>
      <c r="C117" s="1043"/>
      <c r="D117" s="1044"/>
      <c r="E117" s="1044"/>
      <c r="F117" s="1044"/>
      <c r="G117" s="59"/>
    </row>
    <row r="118" spans="1:7" customFormat="1" ht="30" x14ac:dyDescent="0.25">
      <c r="A118" s="843" t="s">
        <v>346</v>
      </c>
      <c r="B118" s="1043">
        <v>41067</v>
      </c>
      <c r="C118" s="1043">
        <v>41312</v>
      </c>
      <c r="D118" s="1044">
        <v>10440000</v>
      </c>
      <c r="E118" s="1044">
        <v>10440000</v>
      </c>
      <c r="F118" s="1044">
        <v>0</v>
      </c>
      <c r="G118" s="59"/>
    </row>
    <row r="119" spans="1:7" customFormat="1" x14ac:dyDescent="0.25">
      <c r="A119" s="843" t="s">
        <v>153</v>
      </c>
      <c r="B119" s="1043"/>
      <c r="C119" s="1043"/>
      <c r="D119" s="1044"/>
      <c r="E119" s="1044"/>
      <c r="F119" s="1044"/>
      <c r="G119" s="59"/>
    </row>
    <row r="120" spans="1:7" customFormat="1" x14ac:dyDescent="0.25">
      <c r="A120" s="843" t="s">
        <v>154</v>
      </c>
      <c r="B120" s="1043"/>
      <c r="C120" s="1043"/>
      <c r="D120" s="1044"/>
      <c r="E120" s="1044"/>
      <c r="F120" s="1044"/>
      <c r="G120" s="59"/>
    </row>
    <row r="121" spans="1:7" customFormat="1" ht="75" x14ac:dyDescent="0.25">
      <c r="A121" s="843" t="s">
        <v>419</v>
      </c>
      <c r="B121" s="1043">
        <v>41081</v>
      </c>
      <c r="C121" s="1043">
        <v>41213</v>
      </c>
      <c r="D121" s="1044">
        <v>41705635</v>
      </c>
      <c r="E121" s="1044">
        <v>41705635</v>
      </c>
      <c r="F121" s="1044">
        <v>0</v>
      </c>
      <c r="G121" s="59"/>
    </row>
    <row r="122" spans="1:7" customFormat="1" x14ac:dyDescent="0.25">
      <c r="A122" s="843" t="s">
        <v>170</v>
      </c>
      <c r="B122" s="1043"/>
      <c r="C122" s="1043"/>
      <c r="D122" s="1044"/>
      <c r="E122" s="1044"/>
      <c r="F122" s="1044"/>
      <c r="G122" s="59"/>
    </row>
    <row r="123" spans="1:7" customFormat="1" x14ac:dyDescent="0.25">
      <c r="A123" s="843" t="s">
        <v>428</v>
      </c>
      <c r="B123" s="1043"/>
      <c r="C123" s="1043"/>
      <c r="D123" s="1044"/>
      <c r="E123" s="1044"/>
      <c r="F123" s="1044"/>
      <c r="G123" s="59"/>
    </row>
    <row r="124" spans="1:7" customFormat="1" ht="60" x14ac:dyDescent="0.25">
      <c r="A124" s="843" t="s">
        <v>444</v>
      </c>
      <c r="B124" s="1043">
        <v>40746</v>
      </c>
      <c r="C124" s="1043">
        <v>41112</v>
      </c>
      <c r="D124" s="1044">
        <v>497000000</v>
      </c>
      <c r="E124" s="1044">
        <v>495932967</v>
      </c>
      <c r="F124" s="1044">
        <v>1067033</v>
      </c>
      <c r="G124" s="59"/>
    </row>
    <row r="125" spans="1:7" customFormat="1" x14ac:dyDescent="0.25">
      <c r="A125" s="843" t="s">
        <v>594</v>
      </c>
      <c r="B125" s="1043"/>
      <c r="C125" s="1043"/>
      <c r="D125" s="1044"/>
      <c r="E125" s="1044"/>
      <c r="F125" s="1044"/>
      <c r="G125" s="59"/>
    </row>
    <row r="126" spans="1:7" customFormat="1" x14ac:dyDescent="0.25">
      <c r="A126" s="843" t="s">
        <v>1006</v>
      </c>
      <c r="B126" s="1043"/>
      <c r="C126" s="1043"/>
      <c r="D126" s="1044"/>
      <c r="E126" s="1044"/>
      <c r="F126" s="1044"/>
      <c r="G126" s="59"/>
    </row>
    <row r="127" spans="1:7" customFormat="1" ht="75" x14ac:dyDescent="0.25">
      <c r="A127" s="843" t="s">
        <v>363</v>
      </c>
      <c r="B127" s="1043">
        <v>40870</v>
      </c>
      <c r="C127" s="1043">
        <v>41356</v>
      </c>
      <c r="D127" s="1044">
        <v>9425000</v>
      </c>
      <c r="E127" s="1044">
        <v>9425000</v>
      </c>
      <c r="F127" s="1044">
        <v>0</v>
      </c>
      <c r="G127" s="59"/>
    </row>
    <row r="128" spans="1:7" customFormat="1" x14ac:dyDescent="0.25">
      <c r="A128" s="843" t="s">
        <v>127</v>
      </c>
      <c r="B128" s="1043"/>
      <c r="C128" s="1043"/>
      <c r="D128" s="1044"/>
      <c r="E128" s="1044"/>
      <c r="F128" s="1044"/>
      <c r="G128" s="59"/>
    </row>
    <row r="129" spans="1:7" customFormat="1" x14ac:dyDescent="0.25">
      <c r="A129" s="843" t="s">
        <v>128</v>
      </c>
      <c r="B129" s="1043"/>
      <c r="C129" s="1043"/>
      <c r="D129" s="1044"/>
      <c r="E129" s="1044"/>
      <c r="F129" s="1044"/>
      <c r="G129" s="59"/>
    </row>
    <row r="130" spans="1:7" customFormat="1" ht="30" x14ac:dyDescent="0.25">
      <c r="A130" s="843" t="s">
        <v>355</v>
      </c>
      <c r="B130" s="1043">
        <v>40863</v>
      </c>
      <c r="C130" s="1043">
        <v>41364</v>
      </c>
      <c r="D130" s="1044">
        <v>22930000</v>
      </c>
      <c r="E130" s="1044">
        <v>18432731</v>
      </c>
      <c r="F130" s="1044">
        <v>4497269</v>
      </c>
      <c r="G130" s="59"/>
    </row>
    <row r="131" spans="1:7" customFormat="1" x14ac:dyDescent="0.25">
      <c r="A131" s="843" t="s">
        <v>59</v>
      </c>
      <c r="B131" s="1043"/>
      <c r="C131" s="1043"/>
      <c r="D131" s="1044"/>
      <c r="E131" s="1044"/>
      <c r="F131" s="1044"/>
      <c r="G131" s="59"/>
    </row>
    <row r="132" spans="1:7" customFormat="1" x14ac:dyDescent="0.25">
      <c r="A132" s="843" t="s">
        <v>60</v>
      </c>
      <c r="B132" s="1043"/>
      <c r="C132" s="1043"/>
      <c r="D132" s="1044"/>
      <c r="E132" s="1044"/>
      <c r="F132" s="1044"/>
      <c r="G132" s="59"/>
    </row>
    <row r="133" spans="1:7" customFormat="1" ht="60" x14ac:dyDescent="0.25">
      <c r="A133" s="843" t="s">
        <v>336</v>
      </c>
      <c r="B133" s="1043">
        <v>41103</v>
      </c>
      <c r="C133" s="1043">
        <v>41471</v>
      </c>
      <c r="D133" s="1044">
        <v>4100000</v>
      </c>
      <c r="E133" s="1044">
        <v>3389600</v>
      </c>
      <c r="F133" s="1044">
        <v>710400</v>
      </c>
      <c r="G133" s="59"/>
    </row>
    <row r="134" spans="1:7" customFormat="1" x14ac:dyDescent="0.25">
      <c r="A134" s="843" t="s">
        <v>120</v>
      </c>
      <c r="B134" s="1043"/>
      <c r="C134" s="1043"/>
      <c r="D134" s="1044"/>
      <c r="E134" s="1044"/>
      <c r="F134" s="1044"/>
      <c r="G134" s="59"/>
    </row>
    <row r="135" spans="1:7" customFormat="1" x14ac:dyDescent="0.25">
      <c r="A135" s="843" t="s">
        <v>429</v>
      </c>
      <c r="B135" s="1043"/>
      <c r="C135" s="1043"/>
      <c r="D135" s="1044"/>
      <c r="E135" s="1044"/>
      <c r="F135" s="1044"/>
      <c r="G135" s="59"/>
    </row>
    <row r="136" spans="1:7" customFormat="1" ht="45" x14ac:dyDescent="0.25">
      <c r="A136" s="843" t="s">
        <v>445</v>
      </c>
      <c r="B136" s="1043">
        <v>40862</v>
      </c>
      <c r="C136" s="1043">
        <v>41362</v>
      </c>
      <c r="D136" s="1044">
        <v>20044800</v>
      </c>
      <c r="E136" s="1044">
        <v>20044800</v>
      </c>
      <c r="F136" s="1044">
        <v>0</v>
      </c>
      <c r="G136" s="59"/>
    </row>
    <row r="137" spans="1:7" customFormat="1" x14ac:dyDescent="0.25">
      <c r="A137" s="843" t="s">
        <v>112</v>
      </c>
      <c r="B137" s="1043"/>
      <c r="C137" s="1043"/>
      <c r="D137" s="1044"/>
      <c r="E137" s="1044"/>
      <c r="F137" s="1044"/>
      <c r="G137" s="59"/>
    </row>
    <row r="138" spans="1:7" customFormat="1" x14ac:dyDescent="0.25">
      <c r="A138" s="843" t="s">
        <v>430</v>
      </c>
      <c r="B138" s="1043"/>
      <c r="C138" s="1043"/>
      <c r="D138" s="1044"/>
      <c r="E138" s="1044"/>
      <c r="F138" s="1044"/>
      <c r="G138" s="59"/>
    </row>
    <row r="139" spans="1:7" customFormat="1" ht="60" x14ac:dyDescent="0.25">
      <c r="A139" s="843" t="s">
        <v>446</v>
      </c>
      <c r="B139" s="1043">
        <v>40865</v>
      </c>
      <c r="C139" s="1043">
        <v>41323</v>
      </c>
      <c r="D139" s="1044">
        <v>9976800</v>
      </c>
      <c r="E139" s="1044">
        <v>9976596</v>
      </c>
      <c r="F139" s="1044">
        <v>204</v>
      </c>
      <c r="G139" s="59"/>
    </row>
    <row r="140" spans="1:7" customFormat="1" x14ac:dyDescent="0.25">
      <c r="A140" s="843" t="s">
        <v>44</v>
      </c>
      <c r="B140" s="1043"/>
      <c r="C140" s="1043"/>
      <c r="D140" s="1044"/>
      <c r="E140" s="1044"/>
      <c r="F140" s="1044"/>
      <c r="G140" s="59"/>
    </row>
    <row r="141" spans="1:7" customFormat="1" x14ac:dyDescent="0.25">
      <c r="A141" s="843" t="s">
        <v>1017</v>
      </c>
      <c r="B141" s="1043"/>
      <c r="C141" s="1043"/>
      <c r="D141" s="1044"/>
      <c r="E141" s="1044"/>
      <c r="F141" s="1044"/>
      <c r="G141" s="59"/>
    </row>
    <row r="142" spans="1:7" customFormat="1" ht="45" x14ac:dyDescent="0.25">
      <c r="A142" s="843" t="s">
        <v>329</v>
      </c>
      <c r="B142" s="1043">
        <v>41151</v>
      </c>
      <c r="C142" s="1043">
        <v>41547</v>
      </c>
      <c r="D142" s="1044">
        <v>8932201</v>
      </c>
      <c r="E142" s="1044">
        <v>8906668</v>
      </c>
      <c r="F142" s="1044">
        <v>25533</v>
      </c>
      <c r="G142" s="59"/>
    </row>
    <row r="143" spans="1:7" customFormat="1" x14ac:dyDescent="0.25">
      <c r="A143" s="843" t="s">
        <v>7</v>
      </c>
      <c r="B143" s="1043"/>
      <c r="C143" s="1043"/>
      <c r="D143" s="1044"/>
      <c r="E143" s="1044"/>
      <c r="F143" s="1044"/>
      <c r="G143" s="59"/>
    </row>
    <row r="144" spans="1:7" customFormat="1" x14ac:dyDescent="0.25">
      <c r="A144" s="843" t="s">
        <v>8</v>
      </c>
      <c r="B144" s="1043"/>
      <c r="C144" s="1043"/>
      <c r="D144" s="1044"/>
      <c r="E144" s="1044"/>
      <c r="F144" s="1044"/>
      <c r="G144" s="59"/>
    </row>
    <row r="145" spans="1:7" customFormat="1" ht="45" x14ac:dyDescent="0.25">
      <c r="A145" s="843" t="s">
        <v>314</v>
      </c>
      <c r="B145" s="1043">
        <v>41155</v>
      </c>
      <c r="C145" s="1043">
        <v>41458</v>
      </c>
      <c r="D145" s="1044">
        <v>8545000</v>
      </c>
      <c r="E145" s="1044">
        <v>4336000</v>
      </c>
      <c r="F145" s="1044">
        <v>4209000</v>
      </c>
      <c r="G145" s="59"/>
    </row>
    <row r="146" spans="1:7" customFormat="1" x14ac:dyDescent="0.25">
      <c r="A146" s="843" t="s">
        <v>161</v>
      </c>
      <c r="B146" s="1043"/>
      <c r="C146" s="1043"/>
      <c r="D146" s="1044"/>
      <c r="E146" s="1044"/>
      <c r="F146" s="1044"/>
      <c r="G146" s="59"/>
    </row>
    <row r="147" spans="1:7" customFormat="1" x14ac:dyDescent="0.25">
      <c r="A147" s="843" t="s">
        <v>162</v>
      </c>
      <c r="B147" s="1043"/>
      <c r="C147" s="1043"/>
      <c r="D147" s="1044"/>
      <c r="E147" s="1044"/>
      <c r="F147" s="1044"/>
      <c r="G147" s="59"/>
    </row>
    <row r="148" spans="1:7" customFormat="1" ht="30" x14ac:dyDescent="0.25">
      <c r="A148" s="843" t="s">
        <v>360</v>
      </c>
      <c r="B148" s="1043">
        <v>40891</v>
      </c>
      <c r="C148" s="1043">
        <v>40922</v>
      </c>
      <c r="D148" s="1044">
        <v>1306508</v>
      </c>
      <c r="E148" s="1044">
        <v>1306508</v>
      </c>
      <c r="F148" s="1044">
        <v>0</v>
      </c>
      <c r="G148" s="59"/>
    </row>
    <row r="149" spans="1:7" customFormat="1" x14ac:dyDescent="0.25">
      <c r="A149" s="843" t="s">
        <v>5</v>
      </c>
      <c r="B149" s="1043"/>
      <c r="C149" s="1043"/>
      <c r="D149" s="1044"/>
      <c r="E149" s="1044"/>
      <c r="F149" s="1044"/>
      <c r="G149" s="59"/>
    </row>
    <row r="150" spans="1:7" customFormat="1" x14ac:dyDescent="0.25">
      <c r="A150" s="843" t="s">
        <v>431</v>
      </c>
      <c r="B150" s="1043"/>
      <c r="C150" s="1043"/>
      <c r="D150" s="1044"/>
      <c r="E150" s="1044"/>
      <c r="F150" s="1044"/>
      <c r="G150" s="59"/>
    </row>
    <row r="151" spans="1:7" customFormat="1" ht="60" x14ac:dyDescent="0.25">
      <c r="A151" s="843" t="s">
        <v>312</v>
      </c>
      <c r="B151" s="1043">
        <v>40897</v>
      </c>
      <c r="C151" s="1043">
        <v>41243</v>
      </c>
      <c r="D151" s="1044">
        <v>102786079</v>
      </c>
      <c r="E151" s="1044">
        <v>84046373</v>
      </c>
      <c r="F151" s="1044">
        <v>18739706</v>
      </c>
      <c r="G151" s="59"/>
    </row>
    <row r="152" spans="1:7" customFormat="1" x14ac:dyDescent="0.25">
      <c r="A152" s="843" t="s">
        <v>6</v>
      </c>
      <c r="B152" s="1043"/>
      <c r="C152" s="1043"/>
      <c r="D152" s="1044"/>
      <c r="E152" s="1044"/>
      <c r="F152" s="1044"/>
      <c r="G152" s="59"/>
    </row>
    <row r="153" spans="1:7" customFormat="1" x14ac:dyDescent="0.25">
      <c r="A153" s="843" t="s">
        <v>1018</v>
      </c>
      <c r="B153" s="1043"/>
      <c r="C153" s="1043"/>
      <c r="D153" s="1044"/>
      <c r="E153" s="1044"/>
      <c r="F153" s="1044"/>
      <c r="G153" s="59"/>
    </row>
    <row r="154" spans="1:7" customFormat="1" ht="30" x14ac:dyDescent="0.25">
      <c r="A154" s="843" t="s">
        <v>541</v>
      </c>
      <c r="B154" s="1043">
        <v>41172</v>
      </c>
      <c r="C154" s="1043">
        <v>41445</v>
      </c>
      <c r="D154" s="1044">
        <v>242578353</v>
      </c>
      <c r="E154" s="1044">
        <v>218264339</v>
      </c>
      <c r="F154" s="1044">
        <v>24314014</v>
      </c>
      <c r="G154" s="59"/>
    </row>
    <row r="155" spans="1:7" customFormat="1" x14ac:dyDescent="0.25">
      <c r="A155" s="843" t="s">
        <v>35</v>
      </c>
      <c r="B155" s="1043"/>
      <c r="C155" s="1043"/>
      <c r="D155" s="1044"/>
      <c r="E155" s="1044"/>
      <c r="F155" s="1044"/>
      <c r="G155" s="59"/>
    </row>
    <row r="156" spans="1:7" customFormat="1" x14ac:dyDescent="0.25">
      <c r="A156" s="843" t="s">
        <v>36</v>
      </c>
      <c r="B156" s="1043"/>
      <c r="C156" s="1043"/>
      <c r="D156" s="1044"/>
      <c r="E156" s="1044"/>
      <c r="F156" s="1044"/>
      <c r="G156" s="59"/>
    </row>
    <row r="157" spans="1:7" customFormat="1" ht="60" x14ac:dyDescent="0.25">
      <c r="A157" s="843" t="s">
        <v>326</v>
      </c>
      <c r="B157" s="1043">
        <v>41172</v>
      </c>
      <c r="C157" s="1043">
        <v>41414</v>
      </c>
      <c r="D157" s="1044">
        <v>4493000</v>
      </c>
      <c r="E157" s="1044">
        <v>3309000</v>
      </c>
      <c r="F157" s="1044">
        <v>1184000</v>
      </c>
      <c r="G157" s="59"/>
    </row>
    <row r="158" spans="1:7" customFormat="1" x14ac:dyDescent="0.25">
      <c r="A158" s="843" t="s">
        <v>37</v>
      </c>
      <c r="B158" s="1043"/>
      <c r="C158" s="1043"/>
      <c r="D158" s="1044"/>
      <c r="E158" s="1044"/>
      <c r="F158" s="1044"/>
      <c r="G158" s="59"/>
    </row>
    <row r="159" spans="1:7" customFormat="1" x14ac:dyDescent="0.25">
      <c r="A159" s="843" t="s">
        <v>38</v>
      </c>
      <c r="B159" s="1043"/>
      <c r="C159" s="1043"/>
      <c r="D159" s="1044"/>
      <c r="E159" s="1044"/>
      <c r="F159" s="1044"/>
      <c r="G159" s="59"/>
    </row>
    <row r="160" spans="1:7" customFormat="1" ht="30" x14ac:dyDescent="0.25">
      <c r="A160" s="843" t="s">
        <v>327</v>
      </c>
      <c r="B160" s="1043">
        <v>41163</v>
      </c>
      <c r="C160" s="1043">
        <v>41425</v>
      </c>
      <c r="D160" s="1044">
        <v>24726000</v>
      </c>
      <c r="E160" s="1044">
        <v>24725958</v>
      </c>
      <c r="F160" s="1044">
        <v>42</v>
      </c>
      <c r="G160" s="59"/>
    </row>
    <row r="161" spans="1:7" customFormat="1" x14ac:dyDescent="0.25">
      <c r="A161" s="843" t="s">
        <v>9</v>
      </c>
      <c r="B161" s="1043"/>
      <c r="C161" s="1043"/>
      <c r="D161" s="1044"/>
      <c r="E161" s="1044"/>
      <c r="F161" s="1044"/>
      <c r="G161" s="59"/>
    </row>
    <row r="162" spans="1:7" customFormat="1" x14ac:dyDescent="0.25">
      <c r="A162" s="843" t="s">
        <v>1019</v>
      </c>
      <c r="B162" s="1043"/>
      <c r="C162" s="1043"/>
      <c r="D162" s="1044"/>
      <c r="E162" s="1044"/>
      <c r="F162" s="1044"/>
      <c r="G162" s="59"/>
    </row>
    <row r="163" spans="1:7" customFormat="1" ht="45" x14ac:dyDescent="0.25">
      <c r="A163" s="843" t="s">
        <v>315</v>
      </c>
      <c r="B163" s="1043">
        <v>41176</v>
      </c>
      <c r="C163" s="1043">
        <v>41409</v>
      </c>
      <c r="D163" s="1044">
        <v>20923575</v>
      </c>
      <c r="E163" s="1044">
        <v>19912200</v>
      </c>
      <c r="F163" s="1044">
        <v>1011375</v>
      </c>
      <c r="G163" s="59"/>
    </row>
    <row r="164" spans="1:7" customFormat="1" x14ac:dyDescent="0.25">
      <c r="A164" s="843" t="s">
        <v>63</v>
      </c>
      <c r="B164" s="1043"/>
      <c r="C164" s="1043"/>
      <c r="D164" s="1044"/>
      <c r="E164" s="1044"/>
      <c r="F164" s="1044"/>
      <c r="G164" s="59"/>
    </row>
    <row r="165" spans="1:7" customFormat="1" ht="30" x14ac:dyDescent="0.25">
      <c r="A165" s="843" t="s">
        <v>64</v>
      </c>
      <c r="B165" s="1043"/>
      <c r="C165" s="1043"/>
      <c r="D165" s="1044"/>
      <c r="E165" s="1044"/>
      <c r="F165" s="1044"/>
      <c r="G165" s="59"/>
    </row>
    <row r="166" spans="1:7" customFormat="1" ht="75" x14ac:dyDescent="0.25">
      <c r="A166" s="843" t="s">
        <v>337</v>
      </c>
      <c r="B166" s="1043">
        <v>41198</v>
      </c>
      <c r="C166" s="1043">
        <v>41441</v>
      </c>
      <c r="D166" s="1044">
        <v>282073266</v>
      </c>
      <c r="E166" s="1044">
        <v>282073266</v>
      </c>
      <c r="F166" s="1044">
        <v>0</v>
      </c>
      <c r="G166" s="59"/>
    </row>
    <row r="167" spans="1:7" customFormat="1" x14ac:dyDescent="0.25">
      <c r="A167" s="843" t="s">
        <v>110</v>
      </c>
      <c r="B167" s="1043"/>
      <c r="C167" s="1043"/>
      <c r="D167" s="1044"/>
      <c r="E167" s="1044"/>
      <c r="F167" s="1044"/>
      <c r="G167" s="59"/>
    </row>
    <row r="168" spans="1:7" customFormat="1" x14ac:dyDescent="0.25">
      <c r="A168" s="843" t="s">
        <v>111</v>
      </c>
      <c r="B168" s="1043"/>
      <c r="C168" s="1043"/>
      <c r="D168" s="1044"/>
      <c r="E168" s="1044"/>
      <c r="F168" s="1044"/>
      <c r="G168" s="59"/>
    </row>
    <row r="169" spans="1:7" customFormat="1" ht="75" x14ac:dyDescent="0.25">
      <c r="A169" s="843" t="s">
        <v>1375</v>
      </c>
      <c r="B169" s="1043">
        <v>41198</v>
      </c>
      <c r="C169" s="1043">
        <v>41441</v>
      </c>
      <c r="D169" s="1044">
        <v>50618751</v>
      </c>
      <c r="E169" s="1044">
        <v>50618751</v>
      </c>
      <c r="F169" s="1044">
        <v>0</v>
      </c>
      <c r="G169" s="59"/>
    </row>
    <row r="170" spans="1:7" customFormat="1" x14ac:dyDescent="0.25">
      <c r="A170" s="843" t="s">
        <v>65</v>
      </c>
      <c r="B170" s="1043"/>
      <c r="C170" s="1043"/>
      <c r="D170" s="1044"/>
      <c r="E170" s="1044"/>
      <c r="F170" s="1044"/>
      <c r="G170" s="59"/>
    </row>
    <row r="171" spans="1:7" customFormat="1" x14ac:dyDescent="0.25">
      <c r="A171" s="843" t="s">
        <v>66</v>
      </c>
      <c r="B171" s="1043"/>
      <c r="C171" s="1043"/>
      <c r="D171" s="1044"/>
      <c r="E171" s="1044"/>
      <c r="F171" s="1044"/>
      <c r="G171" s="59"/>
    </row>
    <row r="172" spans="1:7" customFormat="1" ht="45" x14ac:dyDescent="0.25">
      <c r="A172" s="843" t="s">
        <v>459</v>
      </c>
      <c r="B172" s="1043">
        <v>41202</v>
      </c>
      <c r="C172" s="1043">
        <v>41486</v>
      </c>
      <c r="D172" s="1044">
        <v>69900000</v>
      </c>
      <c r="E172" s="1044">
        <v>69900000</v>
      </c>
      <c r="F172" s="1044">
        <v>0</v>
      </c>
      <c r="G172" s="59"/>
    </row>
    <row r="173" spans="1:7" customFormat="1" x14ac:dyDescent="0.25">
      <c r="A173" s="843" t="s">
        <v>69</v>
      </c>
      <c r="B173" s="1043"/>
      <c r="C173" s="1043"/>
      <c r="D173" s="1044"/>
      <c r="E173" s="1044"/>
      <c r="F173" s="1044"/>
      <c r="G173" s="59"/>
    </row>
    <row r="174" spans="1:7" customFormat="1" x14ac:dyDescent="0.25">
      <c r="A174" s="843" t="s">
        <v>77</v>
      </c>
      <c r="B174" s="1043"/>
      <c r="C174" s="1043"/>
      <c r="D174" s="1044"/>
      <c r="E174" s="1044"/>
      <c r="F174" s="1044"/>
      <c r="G174" s="59"/>
    </row>
    <row r="175" spans="1:7" customFormat="1" ht="75" x14ac:dyDescent="0.25">
      <c r="A175" s="843" t="s">
        <v>397</v>
      </c>
      <c r="B175" s="1043">
        <v>41170</v>
      </c>
      <c r="C175" s="1043">
        <v>41412</v>
      </c>
      <c r="D175" s="1044">
        <v>500000000</v>
      </c>
      <c r="E175" s="1044">
        <v>500000000</v>
      </c>
      <c r="F175" s="1044">
        <v>0</v>
      </c>
      <c r="G175" s="59"/>
    </row>
    <row r="176" spans="1:7" customFormat="1" x14ac:dyDescent="0.25">
      <c r="A176" s="843" t="s">
        <v>47</v>
      </c>
      <c r="B176" s="1043"/>
      <c r="C176" s="1043"/>
      <c r="D176" s="1044"/>
      <c r="E176" s="1044"/>
      <c r="F176" s="1044"/>
      <c r="G176" s="59"/>
    </row>
    <row r="177" spans="1:7" customFormat="1" x14ac:dyDescent="0.25">
      <c r="A177" s="843" t="s">
        <v>48</v>
      </c>
      <c r="B177" s="1043"/>
      <c r="C177" s="1043"/>
      <c r="D177" s="1044"/>
      <c r="E177" s="1044"/>
      <c r="F177" s="1044"/>
      <c r="G177" s="59"/>
    </row>
    <row r="178" spans="1:7" customFormat="1" ht="75" x14ac:dyDescent="0.25">
      <c r="A178" s="843" t="s">
        <v>421</v>
      </c>
      <c r="B178" s="1043">
        <v>41208</v>
      </c>
      <c r="C178" s="1043">
        <v>41481</v>
      </c>
      <c r="D178" s="1044">
        <v>24824832</v>
      </c>
      <c r="E178" s="1044">
        <v>24824832</v>
      </c>
      <c r="F178" s="1044">
        <v>0</v>
      </c>
      <c r="G178" s="59"/>
    </row>
    <row r="179" spans="1:7" customFormat="1" x14ac:dyDescent="0.25">
      <c r="A179" s="843" t="s">
        <v>39</v>
      </c>
      <c r="B179" s="1043"/>
      <c r="C179" s="1043"/>
      <c r="D179" s="1044"/>
      <c r="E179" s="1044"/>
      <c r="F179" s="1044"/>
      <c r="G179" s="59"/>
    </row>
    <row r="180" spans="1:7" customFormat="1" x14ac:dyDescent="0.25">
      <c r="A180" s="843" t="s">
        <v>1020</v>
      </c>
      <c r="B180" s="1043"/>
      <c r="C180" s="1043"/>
      <c r="D180" s="1044"/>
      <c r="E180" s="1044"/>
      <c r="F180" s="1044"/>
      <c r="G180" s="59"/>
    </row>
    <row r="181" spans="1:7" customFormat="1" ht="30" x14ac:dyDescent="0.25">
      <c r="A181" s="843" t="s">
        <v>328</v>
      </c>
      <c r="B181" s="1043">
        <v>41193</v>
      </c>
      <c r="C181" s="1043">
        <v>41558</v>
      </c>
      <c r="D181" s="1044">
        <v>810000</v>
      </c>
      <c r="E181" s="1044">
        <v>810000</v>
      </c>
      <c r="F181" s="1044">
        <v>0</v>
      </c>
      <c r="G181" s="59"/>
    </row>
    <row r="182" spans="1:7" customFormat="1" x14ac:dyDescent="0.25">
      <c r="A182" s="843" t="s">
        <v>49</v>
      </c>
      <c r="B182" s="1043"/>
      <c r="C182" s="1043"/>
      <c r="D182" s="1044"/>
      <c r="E182" s="1044"/>
      <c r="F182" s="1044"/>
      <c r="G182" s="59"/>
    </row>
    <row r="183" spans="1:7" customFormat="1" x14ac:dyDescent="0.25">
      <c r="A183" s="843" t="s">
        <v>1021</v>
      </c>
      <c r="B183" s="1043"/>
      <c r="C183" s="1043"/>
      <c r="D183" s="1044"/>
      <c r="E183" s="1044"/>
      <c r="F183" s="1044"/>
      <c r="G183" s="59"/>
    </row>
    <row r="184" spans="1:7" customFormat="1" ht="45" x14ac:dyDescent="0.25">
      <c r="A184" s="843" t="s">
        <v>460</v>
      </c>
      <c r="B184" s="1043">
        <v>41208</v>
      </c>
      <c r="C184" s="1043">
        <v>41451</v>
      </c>
      <c r="D184" s="1044">
        <v>299287875</v>
      </c>
      <c r="E184" s="1044">
        <v>160844981</v>
      </c>
      <c r="F184" s="1044">
        <v>138442894</v>
      </c>
      <c r="G184" s="59"/>
    </row>
    <row r="185" spans="1:7" customFormat="1" x14ac:dyDescent="0.25">
      <c r="A185" s="843" t="s">
        <v>50</v>
      </c>
      <c r="B185" s="1043"/>
      <c r="C185" s="1043"/>
      <c r="D185" s="1044"/>
      <c r="E185" s="1044"/>
      <c r="F185" s="1044"/>
      <c r="G185" s="59"/>
    </row>
    <row r="186" spans="1:7" customFormat="1" x14ac:dyDescent="0.25">
      <c r="A186" s="843" t="s">
        <v>1022</v>
      </c>
      <c r="B186" s="1043"/>
      <c r="C186" s="1043"/>
      <c r="D186" s="1044"/>
      <c r="E186" s="1044"/>
      <c r="F186" s="1044"/>
      <c r="G186" s="59"/>
    </row>
    <row r="187" spans="1:7" customFormat="1" ht="45" x14ac:dyDescent="0.25">
      <c r="A187" s="843" t="s">
        <v>331</v>
      </c>
      <c r="B187" s="1043">
        <v>41242</v>
      </c>
      <c r="C187" s="1043">
        <v>41534</v>
      </c>
      <c r="D187" s="1044">
        <v>1392000</v>
      </c>
      <c r="E187" s="1044">
        <v>0</v>
      </c>
      <c r="F187" s="1044">
        <v>1392000</v>
      </c>
      <c r="G187" s="59"/>
    </row>
    <row r="188" spans="1:7" customFormat="1" x14ac:dyDescent="0.25">
      <c r="A188" s="843" t="s">
        <v>119</v>
      </c>
      <c r="B188" s="1043"/>
      <c r="C188" s="1043"/>
      <c r="D188" s="1044"/>
      <c r="E188" s="1044"/>
      <c r="F188" s="1044"/>
      <c r="G188" s="59"/>
    </row>
    <row r="189" spans="1:7" customFormat="1" x14ac:dyDescent="0.25">
      <c r="A189" s="843" t="s">
        <v>398</v>
      </c>
      <c r="B189" s="1043"/>
      <c r="C189" s="1043"/>
      <c r="D189" s="1044"/>
      <c r="E189" s="1044"/>
      <c r="F189" s="1044"/>
      <c r="G189" s="59"/>
    </row>
    <row r="190" spans="1:7" customFormat="1" ht="30" x14ac:dyDescent="0.25">
      <c r="A190" s="843" t="s">
        <v>352</v>
      </c>
      <c r="B190" s="1043">
        <v>41208</v>
      </c>
      <c r="C190" s="1043">
        <v>41390</v>
      </c>
      <c r="D190" s="1044">
        <v>4056000</v>
      </c>
      <c r="E190" s="1044">
        <v>4056000</v>
      </c>
      <c r="F190" s="1044">
        <v>0</v>
      </c>
      <c r="G190" s="59"/>
    </row>
    <row r="191" spans="1:7" customFormat="1" x14ac:dyDescent="0.25">
      <c r="A191" s="843" t="s">
        <v>589</v>
      </c>
      <c r="B191" s="1043"/>
      <c r="C191" s="1043"/>
      <c r="D191" s="1044"/>
      <c r="E191" s="1044"/>
      <c r="F191" s="1044"/>
      <c r="G191" s="59"/>
    </row>
    <row r="192" spans="1:7" customFormat="1" x14ac:dyDescent="0.25">
      <c r="A192" s="843" t="s">
        <v>426</v>
      </c>
      <c r="B192" s="1043"/>
      <c r="C192" s="1043"/>
      <c r="D192" s="1044"/>
      <c r="E192" s="1044"/>
      <c r="F192" s="1044"/>
      <c r="G192" s="59"/>
    </row>
    <row r="193" spans="1:7" customFormat="1" ht="45" x14ac:dyDescent="0.25">
      <c r="A193" s="843" t="s">
        <v>442</v>
      </c>
      <c r="B193" s="1043">
        <v>40966</v>
      </c>
      <c r="C193" s="1043">
        <v>41332</v>
      </c>
      <c r="D193" s="1044">
        <v>12835200</v>
      </c>
      <c r="E193" s="1044">
        <v>1092200</v>
      </c>
      <c r="F193" s="1044">
        <v>11743000</v>
      </c>
      <c r="G193" s="59"/>
    </row>
    <row r="194" spans="1:7" customFormat="1" x14ac:dyDescent="0.25">
      <c r="A194" s="843" t="s">
        <v>163</v>
      </c>
      <c r="B194" s="1043"/>
      <c r="C194" s="1043"/>
      <c r="D194" s="1044"/>
      <c r="E194" s="1044"/>
      <c r="F194" s="1044"/>
      <c r="G194" s="59"/>
    </row>
    <row r="195" spans="1:7" customFormat="1" x14ac:dyDescent="0.25">
      <c r="A195" s="843" t="s">
        <v>432</v>
      </c>
      <c r="B195" s="1043"/>
      <c r="C195" s="1043"/>
      <c r="D195" s="1044"/>
      <c r="E195" s="1044"/>
      <c r="F195" s="1044"/>
      <c r="G195" s="59"/>
    </row>
    <row r="196" spans="1:7" customFormat="1" ht="45" x14ac:dyDescent="0.25">
      <c r="A196" s="843" t="s">
        <v>447</v>
      </c>
      <c r="B196" s="1043">
        <v>40946</v>
      </c>
      <c r="C196" s="1043">
        <v>41312</v>
      </c>
      <c r="D196" s="1044">
        <v>49376272</v>
      </c>
      <c r="E196" s="1044">
        <v>49376272</v>
      </c>
      <c r="F196" s="1044">
        <v>0</v>
      </c>
      <c r="G196" s="59"/>
    </row>
    <row r="197" spans="1:7" x14ac:dyDescent="0.25">
      <c r="A197" s="843" t="s">
        <v>51</v>
      </c>
      <c r="B197" s="1043"/>
      <c r="C197" s="1043"/>
      <c r="D197" s="1044"/>
      <c r="E197" s="1044"/>
      <c r="F197" s="1044"/>
    </row>
    <row r="198" spans="1:7" x14ac:dyDescent="0.25">
      <c r="A198" s="843" t="s">
        <v>1023</v>
      </c>
      <c r="B198" s="1043"/>
      <c r="C198" s="1043"/>
      <c r="D198" s="1044"/>
      <c r="E198" s="1044"/>
      <c r="F198" s="1044"/>
    </row>
    <row r="199" spans="1:7" ht="105" x14ac:dyDescent="0.25">
      <c r="A199" s="843" t="s">
        <v>1376</v>
      </c>
      <c r="B199" s="1043">
        <v>41214</v>
      </c>
      <c r="C199" s="1043">
        <v>41579</v>
      </c>
      <c r="D199" s="1044">
        <v>526745000</v>
      </c>
      <c r="E199" s="1044">
        <v>526745000</v>
      </c>
      <c r="F199" s="1044">
        <v>0</v>
      </c>
    </row>
    <row r="200" spans="1:7" x14ac:dyDescent="0.25">
      <c r="A200" s="843" t="s">
        <v>597</v>
      </c>
      <c r="B200" s="1043"/>
      <c r="C200" s="1043"/>
      <c r="D200" s="1044"/>
      <c r="E200" s="1044"/>
      <c r="F200" s="1044"/>
    </row>
    <row r="201" spans="1:7" x14ac:dyDescent="0.25">
      <c r="A201" s="843" t="s">
        <v>1024</v>
      </c>
      <c r="B201" s="1043"/>
      <c r="C201" s="1043"/>
      <c r="D201" s="1044"/>
      <c r="E201" s="1044"/>
      <c r="F201" s="1044"/>
    </row>
    <row r="202" spans="1:7" ht="60" x14ac:dyDescent="0.25">
      <c r="A202" s="843" t="s">
        <v>338</v>
      </c>
      <c r="B202" s="1043">
        <v>41232</v>
      </c>
      <c r="C202" s="1043">
        <v>41562</v>
      </c>
      <c r="D202" s="1044">
        <v>619289880</v>
      </c>
      <c r="E202" s="1044">
        <v>619289880</v>
      </c>
      <c r="F202" s="1044">
        <v>0</v>
      </c>
    </row>
    <row r="203" spans="1:7" x14ac:dyDescent="0.25">
      <c r="A203" s="843" t="s">
        <v>52</v>
      </c>
      <c r="B203" s="1043"/>
      <c r="C203" s="1043"/>
      <c r="D203" s="1044"/>
      <c r="E203" s="1044"/>
      <c r="F203" s="1044"/>
    </row>
    <row r="204" spans="1:7" x14ac:dyDescent="0.25">
      <c r="A204" s="843" t="s">
        <v>53</v>
      </c>
      <c r="B204" s="1043"/>
      <c r="C204" s="1043"/>
      <c r="D204" s="1044"/>
      <c r="E204" s="1044"/>
      <c r="F204" s="1044"/>
    </row>
    <row r="205" spans="1:7" ht="30" x14ac:dyDescent="0.25">
      <c r="A205" s="843" t="s">
        <v>332</v>
      </c>
      <c r="B205" s="1043">
        <v>41278</v>
      </c>
      <c r="C205" s="1043">
        <v>41459</v>
      </c>
      <c r="D205" s="1044">
        <v>13806000</v>
      </c>
      <c r="E205" s="1044">
        <v>12439108</v>
      </c>
      <c r="F205" s="1044">
        <v>1366892</v>
      </c>
    </row>
    <row r="206" spans="1:7" x14ac:dyDescent="0.25">
      <c r="A206" s="843" t="s">
        <v>598</v>
      </c>
      <c r="B206" s="1043"/>
      <c r="C206" s="1043"/>
      <c r="D206" s="1044"/>
      <c r="E206" s="1044"/>
      <c r="F206" s="1044"/>
    </row>
    <row r="207" spans="1:7" x14ac:dyDescent="0.25">
      <c r="A207" s="843" t="s">
        <v>1025</v>
      </c>
      <c r="B207" s="1043"/>
      <c r="C207" s="1043"/>
      <c r="D207" s="1044"/>
      <c r="E207" s="1044"/>
      <c r="F207" s="1044"/>
    </row>
    <row r="208" spans="1:7" ht="30" x14ac:dyDescent="0.25">
      <c r="A208" s="843" t="s">
        <v>333</v>
      </c>
      <c r="B208" s="1043">
        <v>41234</v>
      </c>
      <c r="C208" s="1043">
        <v>41446</v>
      </c>
      <c r="D208" s="1044">
        <v>37359000</v>
      </c>
      <c r="E208" s="1044">
        <v>37359000</v>
      </c>
      <c r="F208" s="1044">
        <v>0</v>
      </c>
    </row>
    <row r="209" spans="1:6" x14ac:dyDescent="0.25">
      <c r="A209" s="843" t="s">
        <v>399</v>
      </c>
      <c r="B209" s="1043"/>
      <c r="C209" s="1043"/>
      <c r="D209" s="1044"/>
      <c r="E209" s="1044"/>
      <c r="F209" s="1044"/>
    </row>
    <row r="210" spans="1:6" x14ac:dyDescent="0.25">
      <c r="A210" s="843" t="s">
        <v>424</v>
      </c>
      <c r="B210" s="1043"/>
      <c r="C210" s="1043"/>
      <c r="D210" s="1044"/>
      <c r="E210" s="1044"/>
      <c r="F210" s="1044"/>
    </row>
    <row r="211" spans="1:6" ht="45" x14ac:dyDescent="0.25">
      <c r="A211" s="843" t="s">
        <v>322</v>
      </c>
      <c r="B211" s="1043">
        <v>41235</v>
      </c>
      <c r="C211" s="1043">
        <v>41278</v>
      </c>
      <c r="D211" s="1044">
        <v>4452000</v>
      </c>
      <c r="E211" s="1044">
        <v>4452000</v>
      </c>
      <c r="F211" s="1044">
        <v>0</v>
      </c>
    </row>
    <row r="212" spans="1:6" x14ac:dyDescent="0.25">
      <c r="A212" s="843" t="s">
        <v>42</v>
      </c>
      <c r="B212" s="1043"/>
      <c r="C212" s="1043"/>
      <c r="D212" s="1044"/>
      <c r="E212" s="1044"/>
      <c r="F212" s="1044"/>
    </row>
    <row r="213" spans="1:6" x14ac:dyDescent="0.25">
      <c r="A213" s="843" t="s">
        <v>43</v>
      </c>
      <c r="B213" s="1043"/>
      <c r="C213" s="1043"/>
      <c r="D213" s="1044"/>
      <c r="E213" s="1044"/>
      <c r="F213" s="1044"/>
    </row>
    <row r="214" spans="1:6" ht="60" x14ac:dyDescent="0.25">
      <c r="A214" s="843" t="s">
        <v>1377</v>
      </c>
      <c r="B214" s="1043">
        <v>41240</v>
      </c>
      <c r="C214" s="1043">
        <v>41452</v>
      </c>
      <c r="D214" s="1044">
        <v>28420000</v>
      </c>
      <c r="E214" s="1044">
        <v>28379400</v>
      </c>
      <c r="F214" s="1044">
        <v>40600</v>
      </c>
    </row>
    <row r="215" spans="1:6" x14ac:dyDescent="0.25">
      <c r="A215" s="843" t="s">
        <v>67</v>
      </c>
      <c r="B215" s="1043"/>
      <c r="C215" s="1043"/>
      <c r="D215" s="1044"/>
      <c r="E215" s="1044"/>
      <c r="F215" s="1044"/>
    </row>
    <row r="216" spans="1:6" x14ac:dyDescent="0.25">
      <c r="A216" s="843" t="s">
        <v>68</v>
      </c>
      <c r="B216" s="1043"/>
      <c r="C216" s="1043"/>
      <c r="D216" s="1044"/>
      <c r="E216" s="1044"/>
      <c r="F216" s="1044"/>
    </row>
    <row r="217" spans="1:6" ht="45" x14ac:dyDescent="0.25">
      <c r="A217" s="843" t="s">
        <v>462</v>
      </c>
      <c r="B217" s="1043">
        <v>41260</v>
      </c>
      <c r="C217" s="1043">
        <v>41322</v>
      </c>
      <c r="D217" s="1044">
        <v>58300000</v>
      </c>
      <c r="E217" s="1044">
        <v>58300000</v>
      </c>
      <c r="F217" s="1044">
        <v>0</v>
      </c>
    </row>
    <row r="218" spans="1:6" x14ac:dyDescent="0.25">
      <c r="A218" s="843" t="s">
        <v>74</v>
      </c>
      <c r="B218" s="1043"/>
      <c r="C218" s="1043"/>
      <c r="D218" s="1044"/>
      <c r="E218" s="1044"/>
      <c r="F218" s="1044"/>
    </row>
    <row r="219" spans="1:6" x14ac:dyDescent="0.25">
      <c r="A219" s="843" t="s">
        <v>75</v>
      </c>
      <c r="B219" s="1043"/>
      <c r="C219" s="1043"/>
      <c r="D219" s="1044"/>
      <c r="E219" s="1044"/>
      <c r="F219" s="1044"/>
    </row>
    <row r="220" spans="1:6" ht="75" x14ac:dyDescent="0.25">
      <c r="A220" s="843" t="s">
        <v>415</v>
      </c>
      <c r="B220" s="1043">
        <v>41269</v>
      </c>
      <c r="C220" s="1043">
        <v>41593</v>
      </c>
      <c r="D220" s="1044">
        <v>411000000</v>
      </c>
      <c r="E220" s="1044">
        <v>411000000</v>
      </c>
      <c r="F220" s="1044">
        <v>0</v>
      </c>
    </row>
    <row r="221" spans="1:6" x14ac:dyDescent="0.25">
      <c r="A221" s="843" t="s">
        <v>54</v>
      </c>
      <c r="B221" s="1043"/>
      <c r="C221" s="1043"/>
      <c r="D221" s="1044"/>
      <c r="E221" s="1044"/>
      <c r="F221" s="1044"/>
    </row>
    <row r="222" spans="1:6" x14ac:dyDescent="0.25">
      <c r="A222" s="843" t="s">
        <v>55</v>
      </c>
      <c r="B222" s="1043"/>
      <c r="C222" s="1043"/>
      <c r="D222" s="1044"/>
      <c r="E222" s="1044"/>
      <c r="F222" s="1044"/>
    </row>
    <row r="223" spans="1:6" ht="60" x14ac:dyDescent="0.25">
      <c r="A223" s="843" t="s">
        <v>334</v>
      </c>
      <c r="B223" s="1043">
        <v>41271</v>
      </c>
      <c r="C223" s="1043">
        <v>41575</v>
      </c>
      <c r="D223" s="1044">
        <v>10032000</v>
      </c>
      <c r="E223" s="1044">
        <v>9339930</v>
      </c>
      <c r="F223" s="1044">
        <v>692070</v>
      </c>
    </row>
    <row r="224" spans="1:6" x14ac:dyDescent="0.25">
      <c r="A224" s="843" t="s">
        <v>11</v>
      </c>
      <c r="B224" s="1043"/>
      <c r="C224" s="1043"/>
      <c r="D224" s="1044"/>
      <c r="E224" s="1044"/>
      <c r="F224" s="1044"/>
    </row>
    <row r="225" spans="1:6" x14ac:dyDescent="0.25">
      <c r="A225" s="843" t="s">
        <v>12</v>
      </c>
      <c r="B225" s="1043"/>
      <c r="C225" s="1043"/>
      <c r="D225" s="1044"/>
      <c r="E225" s="1044"/>
      <c r="F225" s="1044"/>
    </row>
    <row r="226" spans="1:6" ht="30" x14ac:dyDescent="0.25">
      <c r="A226" s="843" t="s">
        <v>316</v>
      </c>
      <c r="B226" s="1043">
        <v>41288</v>
      </c>
      <c r="C226" s="1043">
        <v>41711</v>
      </c>
      <c r="D226" s="1044">
        <v>1918200</v>
      </c>
      <c r="E226" s="1044">
        <v>1755170</v>
      </c>
      <c r="F226" s="1044">
        <v>163030</v>
      </c>
    </row>
    <row r="227" spans="1:6" x14ac:dyDescent="0.25">
      <c r="A227" s="843" t="s">
        <v>4</v>
      </c>
      <c r="B227" s="1043"/>
      <c r="C227" s="1043"/>
      <c r="D227" s="1044"/>
      <c r="E227" s="1044"/>
      <c r="F227" s="1044"/>
    </row>
    <row r="228" spans="1:6" x14ac:dyDescent="0.25">
      <c r="A228" s="843" t="s">
        <v>1028</v>
      </c>
      <c r="B228" s="1043"/>
      <c r="C228" s="1043"/>
      <c r="D228" s="1044"/>
      <c r="E228" s="1044"/>
      <c r="F228" s="1044"/>
    </row>
    <row r="229" spans="1:6" ht="60" x14ac:dyDescent="0.25">
      <c r="A229" s="843" t="s">
        <v>312</v>
      </c>
      <c r="B229" s="1043">
        <v>41292</v>
      </c>
      <c r="C229" s="1043">
        <v>41608</v>
      </c>
      <c r="D229" s="1044">
        <v>79213111</v>
      </c>
      <c r="E229" s="1044">
        <v>65129800</v>
      </c>
      <c r="F229" s="1044">
        <v>14083311</v>
      </c>
    </row>
    <row r="230" spans="1:6" x14ac:dyDescent="0.25">
      <c r="A230" s="843" t="s">
        <v>71</v>
      </c>
      <c r="B230" s="1043"/>
      <c r="C230" s="1043"/>
      <c r="D230" s="1044"/>
      <c r="E230" s="1044"/>
      <c r="F230" s="1044"/>
    </row>
    <row r="231" spans="1:6" x14ac:dyDescent="0.25">
      <c r="A231" s="843" t="s">
        <v>1029</v>
      </c>
      <c r="B231" s="1043"/>
      <c r="C231" s="1043"/>
      <c r="D231" s="1044"/>
      <c r="E231" s="1044"/>
      <c r="F231" s="1044"/>
    </row>
    <row r="232" spans="1:6" ht="60" x14ac:dyDescent="0.25">
      <c r="A232" s="843" t="s">
        <v>339</v>
      </c>
      <c r="B232" s="1043">
        <v>41325</v>
      </c>
      <c r="C232" s="1043">
        <v>41505</v>
      </c>
      <c r="D232" s="1044">
        <v>75246412</v>
      </c>
      <c r="E232" s="1044">
        <v>75232704</v>
      </c>
      <c r="F232" s="1044">
        <v>13708</v>
      </c>
    </row>
    <row r="233" spans="1:6" x14ac:dyDescent="0.25">
      <c r="A233" s="1047" t="s">
        <v>76</v>
      </c>
      <c r="B233" s="1043"/>
      <c r="C233" s="1043"/>
      <c r="D233" s="1044"/>
      <c r="E233" s="1044"/>
      <c r="F233" s="1044"/>
    </row>
    <row r="234" spans="1:6" x14ac:dyDescent="0.25">
      <c r="A234" s="1047" t="s">
        <v>77</v>
      </c>
      <c r="B234" s="1043"/>
      <c r="C234" s="1043"/>
      <c r="D234" s="1044"/>
      <c r="E234" s="1044"/>
      <c r="F234" s="1044"/>
    </row>
    <row r="235" spans="1:6" ht="57" x14ac:dyDescent="0.25">
      <c r="A235" s="1047" t="s">
        <v>417</v>
      </c>
      <c r="B235" s="1045">
        <v>41263</v>
      </c>
      <c r="C235" s="1045">
        <v>43281</v>
      </c>
      <c r="D235" s="1046">
        <v>3900374978</v>
      </c>
      <c r="E235" s="1046">
        <v>680003244</v>
      </c>
      <c r="F235" s="1046">
        <v>3220371734</v>
      </c>
    </row>
    <row r="236" spans="1:6" x14ac:dyDescent="0.25">
      <c r="A236" s="843" t="s">
        <v>45</v>
      </c>
      <c r="B236" s="1043"/>
      <c r="C236" s="1043"/>
      <c r="D236" s="1044"/>
      <c r="E236" s="1044"/>
      <c r="F236" s="1044"/>
    </row>
    <row r="237" spans="1:6" x14ac:dyDescent="0.25">
      <c r="A237" s="843" t="s">
        <v>46</v>
      </c>
      <c r="B237" s="1043"/>
      <c r="C237" s="1043"/>
      <c r="D237" s="1044"/>
      <c r="E237" s="1044"/>
      <c r="F237" s="1044"/>
    </row>
    <row r="238" spans="1:6" ht="45" x14ac:dyDescent="0.25">
      <c r="A238" s="843" t="s">
        <v>330</v>
      </c>
      <c r="B238" s="1043">
        <v>41292</v>
      </c>
      <c r="C238" s="1043">
        <v>41322</v>
      </c>
      <c r="D238" s="1044">
        <v>1062500</v>
      </c>
      <c r="E238" s="1044">
        <v>1062500</v>
      </c>
      <c r="F238" s="1044">
        <v>0</v>
      </c>
    </row>
    <row r="239" spans="1:6" x14ac:dyDescent="0.25">
      <c r="A239" s="843" t="s">
        <v>25</v>
      </c>
      <c r="B239" s="1043"/>
      <c r="C239" s="1043"/>
      <c r="D239" s="1044"/>
      <c r="E239" s="1044"/>
      <c r="F239" s="1044"/>
    </row>
    <row r="240" spans="1:6" x14ac:dyDescent="0.25">
      <c r="A240" s="843" t="s">
        <v>26</v>
      </c>
      <c r="B240" s="1043"/>
      <c r="C240" s="1043"/>
      <c r="D240" s="1044"/>
      <c r="E240" s="1044"/>
      <c r="F240" s="1044"/>
    </row>
    <row r="241" spans="1:6" ht="75" x14ac:dyDescent="0.25">
      <c r="A241" s="843" t="s">
        <v>1378</v>
      </c>
      <c r="B241" s="1043">
        <v>41313</v>
      </c>
      <c r="C241" s="1043">
        <v>41736</v>
      </c>
      <c r="D241" s="1044">
        <v>115663600</v>
      </c>
      <c r="E241" s="1044">
        <v>115663040</v>
      </c>
      <c r="F241" s="1044">
        <v>560</v>
      </c>
    </row>
    <row r="242" spans="1:6" x14ac:dyDescent="0.25">
      <c r="A242" s="843" t="s">
        <v>116</v>
      </c>
      <c r="B242" s="1043"/>
      <c r="C242" s="1043"/>
      <c r="D242" s="1044"/>
      <c r="E242" s="1044"/>
      <c r="F242" s="1044"/>
    </row>
    <row r="243" spans="1:6" x14ac:dyDescent="0.25">
      <c r="A243" s="843" t="s">
        <v>418</v>
      </c>
      <c r="B243" s="1043"/>
      <c r="C243" s="1043"/>
      <c r="D243" s="1044"/>
      <c r="E243" s="1044"/>
      <c r="F243" s="1044"/>
    </row>
    <row r="244" spans="1:6" x14ac:dyDescent="0.25">
      <c r="A244" s="843" t="s">
        <v>350</v>
      </c>
      <c r="B244" s="1043">
        <v>41323</v>
      </c>
      <c r="C244" s="1043">
        <v>41442</v>
      </c>
      <c r="D244" s="1044">
        <v>36990000</v>
      </c>
      <c r="E244" s="1044">
        <v>36990000</v>
      </c>
      <c r="F244" s="1044">
        <v>0</v>
      </c>
    </row>
    <row r="245" spans="1:6" x14ac:dyDescent="0.25">
      <c r="A245" s="843" t="s">
        <v>122</v>
      </c>
      <c r="B245" s="1043"/>
      <c r="C245" s="1043"/>
      <c r="D245" s="1044"/>
      <c r="E245" s="1044"/>
      <c r="F245" s="1044"/>
    </row>
    <row r="246" spans="1:6" x14ac:dyDescent="0.25">
      <c r="A246" s="843" t="s">
        <v>244</v>
      </c>
      <c r="B246" s="1043"/>
      <c r="C246" s="1043"/>
      <c r="D246" s="1044"/>
      <c r="E246" s="1044"/>
      <c r="F246" s="1044"/>
    </row>
    <row r="247" spans="1:6" ht="30" x14ac:dyDescent="0.25">
      <c r="A247" s="843" t="s">
        <v>354</v>
      </c>
      <c r="B247" s="1043">
        <v>41316</v>
      </c>
      <c r="C247" s="1043">
        <v>41680</v>
      </c>
      <c r="D247" s="1044">
        <v>85314724</v>
      </c>
      <c r="E247" s="1044">
        <v>85314724</v>
      </c>
      <c r="F247" s="1044">
        <v>0</v>
      </c>
    </row>
    <row r="248" spans="1:6" x14ac:dyDescent="0.25">
      <c r="A248" s="843" t="s">
        <v>182</v>
      </c>
      <c r="B248" s="1043"/>
      <c r="C248" s="1043"/>
      <c r="D248" s="1044"/>
      <c r="E248" s="1044"/>
      <c r="F248" s="1044"/>
    </row>
    <row r="249" spans="1:6" x14ac:dyDescent="0.25">
      <c r="A249" s="843" t="s">
        <v>152</v>
      </c>
      <c r="B249" s="1043"/>
      <c r="C249" s="1043"/>
      <c r="D249" s="1044"/>
      <c r="E249" s="1044"/>
      <c r="F249" s="1044"/>
    </row>
    <row r="250" spans="1:6" ht="60" x14ac:dyDescent="0.25">
      <c r="A250" s="843" t="s">
        <v>441</v>
      </c>
      <c r="B250" s="1043">
        <v>40150</v>
      </c>
      <c r="C250" s="1043">
        <v>41336</v>
      </c>
      <c r="D250" s="1044">
        <v>507000000</v>
      </c>
      <c r="E250" s="1044">
        <v>471070424</v>
      </c>
      <c r="F250" s="1044">
        <v>35929576</v>
      </c>
    </row>
    <row r="251" spans="1:6" x14ac:dyDescent="0.25">
      <c r="A251" s="843" t="s">
        <v>78</v>
      </c>
      <c r="B251" s="1043"/>
      <c r="C251" s="1043"/>
      <c r="D251" s="1044"/>
      <c r="E251" s="1044"/>
      <c r="F251" s="1044"/>
    </row>
    <row r="252" spans="1:6" x14ac:dyDescent="0.25">
      <c r="A252" s="843" t="s">
        <v>79</v>
      </c>
      <c r="B252" s="1043"/>
      <c r="C252" s="1043"/>
      <c r="D252" s="1044"/>
      <c r="E252" s="1044"/>
      <c r="F252" s="1044"/>
    </row>
    <row r="253" spans="1:6" ht="60" x14ac:dyDescent="0.25">
      <c r="A253" s="843" t="s">
        <v>340</v>
      </c>
      <c r="B253" s="1043">
        <v>41319</v>
      </c>
      <c r="C253" s="1043">
        <v>41683</v>
      </c>
      <c r="D253" s="1044">
        <v>123000000</v>
      </c>
      <c r="E253" s="1044">
        <v>123000000</v>
      </c>
      <c r="F253" s="1044">
        <v>0</v>
      </c>
    </row>
    <row r="254" spans="1:6" x14ac:dyDescent="0.25">
      <c r="A254" s="843" t="s">
        <v>80</v>
      </c>
      <c r="B254" s="1043"/>
      <c r="C254" s="1043"/>
      <c r="D254" s="1044"/>
      <c r="E254" s="1044"/>
      <c r="F254" s="1044"/>
    </row>
    <row r="255" spans="1:6" x14ac:dyDescent="0.25">
      <c r="A255" s="843" t="s">
        <v>81</v>
      </c>
      <c r="B255" s="1043"/>
      <c r="C255" s="1043"/>
      <c r="D255" s="1044"/>
      <c r="E255" s="1044"/>
      <c r="F255" s="1044"/>
    </row>
    <row r="256" spans="1:6" ht="60" x14ac:dyDescent="0.25">
      <c r="A256" s="843" t="s">
        <v>1073</v>
      </c>
      <c r="B256" s="1043">
        <v>41347</v>
      </c>
      <c r="C256" s="1043">
        <v>41711</v>
      </c>
      <c r="D256" s="1044">
        <v>1113600</v>
      </c>
      <c r="E256" s="1044">
        <v>1113600</v>
      </c>
      <c r="F256" s="1044">
        <v>0</v>
      </c>
    </row>
    <row r="257" spans="1:6" x14ac:dyDescent="0.25">
      <c r="A257" s="843" t="s">
        <v>82</v>
      </c>
      <c r="B257" s="1043"/>
      <c r="C257" s="1043"/>
      <c r="D257" s="1044"/>
      <c r="E257" s="1044"/>
      <c r="F257" s="1044"/>
    </row>
    <row r="258" spans="1:6" x14ac:dyDescent="0.25">
      <c r="A258" s="843" t="s">
        <v>1030</v>
      </c>
      <c r="B258" s="1043"/>
      <c r="C258" s="1043"/>
      <c r="D258" s="1044"/>
      <c r="E258" s="1044"/>
      <c r="F258" s="1044"/>
    </row>
    <row r="259" spans="1:6" ht="60" x14ac:dyDescent="0.25">
      <c r="A259" s="843" t="s">
        <v>463</v>
      </c>
      <c r="B259" s="1043">
        <v>41347</v>
      </c>
      <c r="C259" s="1043">
        <v>41652</v>
      </c>
      <c r="D259" s="1044">
        <v>4967474</v>
      </c>
      <c r="E259" s="1044">
        <v>4453683</v>
      </c>
      <c r="F259" s="1044">
        <v>513791</v>
      </c>
    </row>
    <row r="260" spans="1:6" x14ac:dyDescent="0.25">
      <c r="A260" s="843" t="s">
        <v>83</v>
      </c>
      <c r="B260" s="1043"/>
      <c r="C260" s="1043"/>
      <c r="D260" s="1044"/>
      <c r="E260" s="1044"/>
      <c r="F260" s="1044"/>
    </row>
    <row r="261" spans="1:6" x14ac:dyDescent="0.25">
      <c r="A261" s="843" t="s">
        <v>84</v>
      </c>
      <c r="B261" s="1043"/>
      <c r="C261" s="1043"/>
      <c r="D261" s="1044"/>
      <c r="E261" s="1044"/>
      <c r="F261" s="1044"/>
    </row>
    <row r="262" spans="1:6" ht="30" x14ac:dyDescent="0.25">
      <c r="A262" s="843" t="s">
        <v>320</v>
      </c>
      <c r="B262" s="1043">
        <v>41367</v>
      </c>
      <c r="C262" s="1043">
        <v>41731</v>
      </c>
      <c r="D262" s="1044">
        <v>15913500</v>
      </c>
      <c r="E262" s="1044">
        <v>15453868</v>
      </c>
      <c r="F262" s="1044">
        <v>459632</v>
      </c>
    </row>
    <row r="263" spans="1:6" x14ac:dyDescent="0.25">
      <c r="A263" s="843" t="s">
        <v>85</v>
      </c>
      <c r="B263" s="1043"/>
      <c r="C263" s="1043"/>
      <c r="D263" s="1044"/>
      <c r="E263" s="1044"/>
      <c r="F263" s="1044"/>
    </row>
    <row r="264" spans="1:6" x14ac:dyDescent="0.25">
      <c r="A264" s="843" t="s">
        <v>86</v>
      </c>
      <c r="B264" s="1043"/>
      <c r="C264" s="1043"/>
      <c r="D264" s="1044"/>
      <c r="E264" s="1044"/>
      <c r="F264" s="1044"/>
    </row>
    <row r="265" spans="1:6" ht="30" x14ac:dyDescent="0.25">
      <c r="A265" s="843" t="s">
        <v>341</v>
      </c>
      <c r="B265" s="1043">
        <v>41352</v>
      </c>
      <c r="C265" s="1043">
        <v>41716</v>
      </c>
      <c r="D265" s="1044">
        <v>1197000</v>
      </c>
      <c r="E265" s="1044">
        <v>1197000</v>
      </c>
      <c r="F265" s="1044">
        <v>0</v>
      </c>
    </row>
    <row r="266" spans="1:6" x14ac:dyDescent="0.25">
      <c r="A266" s="843" t="s">
        <v>87</v>
      </c>
      <c r="B266" s="1043"/>
      <c r="C266" s="1043"/>
      <c r="D266" s="1044"/>
      <c r="E266" s="1044"/>
      <c r="F266" s="1044"/>
    </row>
    <row r="267" spans="1:6" x14ac:dyDescent="0.25">
      <c r="A267" s="843" t="s">
        <v>435</v>
      </c>
      <c r="B267" s="1043"/>
      <c r="C267" s="1043"/>
      <c r="D267" s="1044"/>
      <c r="E267" s="1044"/>
      <c r="F267" s="1044"/>
    </row>
    <row r="268" spans="1:6" ht="45" x14ac:dyDescent="0.25">
      <c r="A268" s="843" t="s">
        <v>318</v>
      </c>
      <c r="B268" s="1043">
        <v>41400</v>
      </c>
      <c r="C268" s="1043">
        <v>41764</v>
      </c>
      <c r="D268" s="1044">
        <v>8360000</v>
      </c>
      <c r="E268" s="1044">
        <v>7018000</v>
      </c>
      <c r="F268" s="1044">
        <v>1342000</v>
      </c>
    </row>
    <row r="269" spans="1:6" x14ac:dyDescent="0.25">
      <c r="A269" s="843" t="s">
        <v>88</v>
      </c>
      <c r="B269" s="1043"/>
      <c r="C269" s="1043"/>
      <c r="D269" s="1044"/>
      <c r="E269" s="1044"/>
      <c r="F269" s="1044"/>
    </row>
    <row r="270" spans="1:6" x14ac:dyDescent="0.25">
      <c r="A270" s="843" t="s">
        <v>1031</v>
      </c>
      <c r="B270" s="1043"/>
      <c r="C270" s="1043"/>
      <c r="D270" s="1044"/>
      <c r="E270" s="1044"/>
      <c r="F270" s="1044"/>
    </row>
    <row r="271" spans="1:6" ht="45" x14ac:dyDescent="0.25">
      <c r="A271" s="843" t="s">
        <v>342</v>
      </c>
      <c r="B271" s="1043">
        <v>41393</v>
      </c>
      <c r="C271" s="1043">
        <v>41545</v>
      </c>
      <c r="D271" s="1044">
        <v>3700000</v>
      </c>
      <c r="E271" s="1044">
        <v>3700000</v>
      </c>
      <c r="F271" s="1044">
        <v>0</v>
      </c>
    </row>
    <row r="272" spans="1:6" x14ac:dyDescent="0.25">
      <c r="A272" s="843" t="s">
        <v>91</v>
      </c>
      <c r="B272" s="1043"/>
      <c r="C272" s="1043"/>
      <c r="D272" s="1044"/>
      <c r="E272" s="1044"/>
      <c r="F272" s="1044"/>
    </row>
    <row r="273" spans="1:6" x14ac:dyDescent="0.25">
      <c r="A273" s="843" t="s">
        <v>1032</v>
      </c>
      <c r="B273" s="1043"/>
      <c r="C273" s="1043"/>
      <c r="D273" s="1044"/>
      <c r="E273" s="1044"/>
      <c r="F273" s="1044"/>
    </row>
    <row r="274" spans="1:6" ht="75" x14ac:dyDescent="0.25">
      <c r="A274" s="843" t="s">
        <v>464</v>
      </c>
      <c r="B274" s="1043">
        <v>41387</v>
      </c>
      <c r="C274" s="1043">
        <v>41692</v>
      </c>
      <c r="D274" s="1044">
        <v>50000000</v>
      </c>
      <c r="E274" s="1044">
        <v>50000000</v>
      </c>
      <c r="F274" s="1044">
        <v>0</v>
      </c>
    </row>
    <row r="275" spans="1:6" x14ac:dyDescent="0.25">
      <c r="A275" s="843" t="s">
        <v>93</v>
      </c>
      <c r="B275" s="1043"/>
      <c r="C275" s="1043"/>
      <c r="D275" s="1044"/>
      <c r="E275" s="1044"/>
      <c r="F275" s="1044"/>
    </row>
    <row r="276" spans="1:6" x14ac:dyDescent="0.25">
      <c r="A276" s="843" t="s">
        <v>1033</v>
      </c>
      <c r="B276" s="1043"/>
      <c r="C276" s="1043"/>
      <c r="D276" s="1044"/>
      <c r="E276" s="1044"/>
      <c r="F276" s="1044"/>
    </row>
    <row r="277" spans="1:6" ht="45" x14ac:dyDescent="0.25">
      <c r="A277" s="843" t="s">
        <v>343</v>
      </c>
      <c r="B277" s="1043">
        <v>41396</v>
      </c>
      <c r="C277" s="1043">
        <v>41699</v>
      </c>
      <c r="D277" s="1044">
        <v>41600000</v>
      </c>
      <c r="E277" s="1044">
        <v>41600000</v>
      </c>
      <c r="F277" s="1044">
        <v>0</v>
      </c>
    </row>
    <row r="278" spans="1:6" x14ac:dyDescent="0.25">
      <c r="A278" s="843" t="s">
        <v>94</v>
      </c>
      <c r="B278" s="1043"/>
      <c r="C278" s="1043"/>
      <c r="D278" s="1044"/>
      <c r="E278" s="1044"/>
      <c r="F278" s="1044"/>
    </row>
    <row r="279" spans="1:6" x14ac:dyDescent="0.25">
      <c r="A279" s="843" t="s">
        <v>433</v>
      </c>
      <c r="B279" s="1043"/>
      <c r="C279" s="1043"/>
      <c r="D279" s="1044"/>
      <c r="E279" s="1044"/>
      <c r="F279" s="1044"/>
    </row>
    <row r="280" spans="1:6" ht="45" x14ac:dyDescent="0.25">
      <c r="A280" s="843" t="s">
        <v>344</v>
      </c>
      <c r="B280" s="1043">
        <v>41411</v>
      </c>
      <c r="C280" s="1043">
        <v>41508</v>
      </c>
      <c r="D280" s="1044">
        <v>240000000</v>
      </c>
      <c r="E280" s="1044">
        <v>239999964</v>
      </c>
      <c r="F280" s="1044">
        <v>36</v>
      </c>
    </row>
    <row r="281" spans="1:6" x14ac:dyDescent="0.25">
      <c r="A281" s="843" t="s">
        <v>95</v>
      </c>
      <c r="B281" s="1043"/>
      <c r="C281" s="1043"/>
      <c r="D281" s="1044"/>
      <c r="E281" s="1044"/>
      <c r="F281" s="1044"/>
    </row>
    <row r="282" spans="1:6" x14ac:dyDescent="0.25">
      <c r="A282" s="843" t="s">
        <v>41</v>
      </c>
      <c r="B282" s="1043"/>
      <c r="C282" s="1043"/>
      <c r="D282" s="1044"/>
      <c r="E282" s="1044"/>
      <c r="F282" s="1044"/>
    </row>
    <row r="283" spans="1:6" ht="30" x14ac:dyDescent="0.25">
      <c r="A283" s="843" t="s">
        <v>458</v>
      </c>
      <c r="B283" s="1043">
        <v>41403</v>
      </c>
      <c r="C283" s="1043">
        <v>41890</v>
      </c>
      <c r="D283" s="1044">
        <v>67179000</v>
      </c>
      <c r="E283" s="1044">
        <v>67115300</v>
      </c>
      <c r="F283" s="1044">
        <v>63700</v>
      </c>
    </row>
    <row r="284" spans="1:6" x14ac:dyDescent="0.25">
      <c r="A284" s="843" t="s">
        <v>96</v>
      </c>
      <c r="B284" s="1043"/>
      <c r="C284" s="1043"/>
      <c r="D284" s="1044"/>
      <c r="E284" s="1044"/>
      <c r="F284" s="1044"/>
    </row>
    <row r="285" spans="1:6" x14ac:dyDescent="0.25">
      <c r="A285" s="843" t="s">
        <v>3</v>
      </c>
      <c r="B285" s="1043"/>
      <c r="C285" s="1043"/>
      <c r="D285" s="1044"/>
      <c r="E285" s="1044"/>
      <c r="F285" s="1044"/>
    </row>
    <row r="286" spans="1:6" ht="45" x14ac:dyDescent="0.25">
      <c r="A286" s="843" t="s">
        <v>456</v>
      </c>
      <c r="B286" s="1043">
        <v>41426</v>
      </c>
      <c r="C286" s="1043">
        <v>41820</v>
      </c>
      <c r="D286" s="1044">
        <v>473134060</v>
      </c>
      <c r="E286" s="1044">
        <v>473133510</v>
      </c>
      <c r="F286" s="1044">
        <v>550</v>
      </c>
    </row>
    <row r="287" spans="1:6" x14ac:dyDescent="0.25">
      <c r="A287" s="843" t="s">
        <v>97</v>
      </c>
      <c r="B287" s="1043"/>
      <c r="C287" s="1043"/>
      <c r="D287" s="1044"/>
      <c r="E287" s="1044"/>
      <c r="F287" s="1044"/>
    </row>
    <row r="288" spans="1:6" x14ac:dyDescent="0.25">
      <c r="A288" s="843" t="s">
        <v>98</v>
      </c>
      <c r="B288" s="1043"/>
      <c r="C288" s="1043"/>
      <c r="D288" s="1044"/>
      <c r="E288" s="1044"/>
      <c r="F288" s="1044"/>
    </row>
    <row r="289" spans="1:6" ht="45" x14ac:dyDescent="0.25">
      <c r="A289" s="843" t="s">
        <v>345</v>
      </c>
      <c r="B289" s="1043">
        <v>41417</v>
      </c>
      <c r="C289" s="1043">
        <v>41692</v>
      </c>
      <c r="D289" s="1044">
        <v>2096276</v>
      </c>
      <c r="E289" s="1044">
        <v>2086672</v>
      </c>
      <c r="F289" s="1044">
        <v>9604</v>
      </c>
    </row>
    <row r="290" spans="1:6" x14ac:dyDescent="0.25">
      <c r="A290" s="843" t="s">
        <v>99</v>
      </c>
      <c r="B290" s="1043"/>
      <c r="C290" s="1043"/>
      <c r="D290" s="1044"/>
      <c r="E290" s="1044"/>
      <c r="F290" s="1044"/>
    </row>
    <row r="291" spans="1:6" x14ac:dyDescent="0.25">
      <c r="A291" s="843" t="s">
        <v>100</v>
      </c>
      <c r="B291" s="1043">
        <v>41416</v>
      </c>
      <c r="C291" s="1043">
        <v>41660</v>
      </c>
      <c r="D291" s="1044">
        <v>18744000</v>
      </c>
      <c r="E291" s="1044">
        <v>18286734</v>
      </c>
      <c r="F291" s="1044">
        <v>457266</v>
      </c>
    </row>
    <row r="292" spans="1:6" x14ac:dyDescent="0.25">
      <c r="A292" s="843" t="s">
        <v>121</v>
      </c>
      <c r="B292" s="1043"/>
      <c r="C292" s="1043"/>
      <c r="D292" s="1044"/>
      <c r="E292" s="1044"/>
      <c r="F292" s="1044"/>
    </row>
    <row r="293" spans="1:6" x14ac:dyDescent="0.25">
      <c r="A293" s="843" t="s">
        <v>15</v>
      </c>
      <c r="B293" s="1043"/>
      <c r="C293" s="1043"/>
      <c r="D293" s="1044"/>
      <c r="E293" s="1044"/>
      <c r="F293" s="1044"/>
    </row>
    <row r="294" spans="1:6" x14ac:dyDescent="0.25">
      <c r="A294" s="843" t="s">
        <v>353</v>
      </c>
      <c r="B294" s="1043">
        <v>41410</v>
      </c>
      <c r="C294" s="1043">
        <v>41774</v>
      </c>
      <c r="D294" s="1044">
        <v>7740000</v>
      </c>
      <c r="E294" s="1044">
        <v>7740000</v>
      </c>
      <c r="F294" s="1044">
        <v>0</v>
      </c>
    </row>
    <row r="295" spans="1:6" x14ac:dyDescent="0.25">
      <c r="A295" s="843" t="s">
        <v>123</v>
      </c>
      <c r="B295" s="1043"/>
      <c r="C295" s="1043"/>
      <c r="D295" s="1044"/>
      <c r="E295" s="1044"/>
      <c r="F295" s="1044"/>
    </row>
    <row r="296" spans="1:6" x14ac:dyDescent="0.25">
      <c r="A296" s="843" t="s">
        <v>124</v>
      </c>
      <c r="B296" s="1043"/>
      <c r="C296" s="1043"/>
      <c r="D296" s="1044"/>
      <c r="E296" s="1044"/>
      <c r="F296" s="1044"/>
    </row>
    <row r="297" spans="1:6" ht="75" x14ac:dyDescent="0.25">
      <c r="A297" s="843" t="s">
        <v>464</v>
      </c>
      <c r="B297" s="1043">
        <v>41410</v>
      </c>
      <c r="C297" s="1043">
        <v>41713</v>
      </c>
      <c r="D297" s="1044">
        <v>50000000</v>
      </c>
      <c r="E297" s="1044">
        <v>27500000</v>
      </c>
      <c r="F297" s="1044">
        <v>22500000</v>
      </c>
    </row>
    <row r="298" spans="1:6" x14ac:dyDescent="0.25">
      <c r="A298" s="843" t="s">
        <v>125</v>
      </c>
      <c r="B298" s="1043"/>
      <c r="C298" s="1043"/>
      <c r="D298" s="1044"/>
      <c r="E298" s="1044"/>
      <c r="F298" s="1044"/>
    </row>
    <row r="299" spans="1:6" x14ac:dyDescent="0.25">
      <c r="A299" s="843" t="s">
        <v>126</v>
      </c>
      <c r="B299" s="1043"/>
      <c r="C299" s="1043"/>
      <c r="D299" s="1044"/>
      <c r="E299" s="1044"/>
      <c r="F299" s="1044"/>
    </row>
    <row r="300" spans="1:6" ht="45" x14ac:dyDescent="0.25">
      <c r="A300" s="843" t="s">
        <v>466</v>
      </c>
      <c r="B300" s="1043">
        <v>41423</v>
      </c>
      <c r="C300" s="1043">
        <v>41698</v>
      </c>
      <c r="D300" s="1044">
        <v>9366000</v>
      </c>
      <c r="E300" s="1044">
        <v>7783682</v>
      </c>
      <c r="F300" s="1044">
        <v>1582318</v>
      </c>
    </row>
    <row r="301" spans="1:6" x14ac:dyDescent="0.25">
      <c r="A301" s="843" t="s">
        <v>129</v>
      </c>
      <c r="B301" s="1043"/>
      <c r="C301" s="1043"/>
      <c r="D301" s="1044"/>
      <c r="E301" s="1044"/>
      <c r="F301" s="1044"/>
    </row>
    <row r="302" spans="1:6" x14ac:dyDescent="0.25">
      <c r="A302" s="843" t="s">
        <v>1019</v>
      </c>
      <c r="B302" s="1043"/>
      <c r="C302" s="1043"/>
      <c r="D302" s="1044"/>
      <c r="E302" s="1044"/>
      <c r="F302" s="1044"/>
    </row>
    <row r="303" spans="1:6" ht="45" x14ac:dyDescent="0.25">
      <c r="A303" s="843" t="s">
        <v>315</v>
      </c>
      <c r="B303" s="1043">
        <v>41410</v>
      </c>
      <c r="C303" s="1043">
        <v>41806</v>
      </c>
      <c r="D303" s="1044">
        <v>33120000</v>
      </c>
      <c r="E303" s="1044">
        <v>32832950</v>
      </c>
      <c r="F303" s="1044">
        <v>287050</v>
      </c>
    </row>
    <row r="304" spans="1:6" x14ac:dyDescent="0.25">
      <c r="A304" s="843" t="s">
        <v>89</v>
      </c>
      <c r="B304" s="1043"/>
      <c r="C304" s="1043"/>
      <c r="D304" s="1044"/>
      <c r="E304" s="1044"/>
      <c r="F304" s="1044"/>
    </row>
    <row r="305" spans="1:6" x14ac:dyDescent="0.25">
      <c r="A305" s="843" t="s">
        <v>90</v>
      </c>
      <c r="B305" s="1043"/>
      <c r="C305" s="1043"/>
      <c r="D305" s="1044"/>
      <c r="E305" s="1044"/>
      <c r="F305" s="1044"/>
    </row>
    <row r="306" spans="1:6" ht="45" x14ac:dyDescent="0.25">
      <c r="A306" s="843" t="s">
        <v>467</v>
      </c>
      <c r="B306" s="1043">
        <v>41438</v>
      </c>
      <c r="C306" s="1043">
        <v>41802</v>
      </c>
      <c r="D306" s="1044">
        <v>1030000</v>
      </c>
      <c r="E306" s="1044">
        <v>1030000</v>
      </c>
      <c r="F306" s="1044">
        <v>0</v>
      </c>
    </row>
    <row r="307" spans="1:6" x14ac:dyDescent="0.25">
      <c r="A307" s="843" t="s">
        <v>130</v>
      </c>
      <c r="B307" s="1043"/>
      <c r="C307" s="1043"/>
      <c r="D307" s="1044"/>
      <c r="E307" s="1044"/>
      <c r="F307" s="1044"/>
    </row>
    <row r="308" spans="1:6" x14ac:dyDescent="0.25">
      <c r="A308" s="843" t="s">
        <v>1112</v>
      </c>
      <c r="B308" s="1043"/>
      <c r="C308" s="1043"/>
      <c r="D308" s="1044"/>
      <c r="E308" s="1044"/>
      <c r="F308" s="1044"/>
    </row>
    <row r="309" spans="1:6" ht="60" x14ac:dyDescent="0.25">
      <c r="A309" s="843" t="s">
        <v>468</v>
      </c>
      <c r="B309" s="1043">
        <v>41421</v>
      </c>
      <c r="C309" s="1043">
        <v>41897</v>
      </c>
      <c r="D309" s="1044">
        <v>1552431776</v>
      </c>
      <c r="E309" s="1044">
        <v>1552431775</v>
      </c>
      <c r="F309" s="1044">
        <v>1</v>
      </c>
    </row>
    <row r="310" spans="1:6" x14ac:dyDescent="0.25">
      <c r="A310" s="1047" t="s">
        <v>132</v>
      </c>
      <c r="B310" s="1045"/>
      <c r="C310" s="1045"/>
      <c r="D310" s="1046"/>
      <c r="E310" s="1046"/>
      <c r="F310" s="1046"/>
    </row>
    <row r="311" spans="1:6" x14ac:dyDescent="0.25">
      <c r="A311" s="843" t="s">
        <v>27</v>
      </c>
      <c r="B311" s="1045"/>
      <c r="C311" s="1045"/>
      <c r="D311" s="1046"/>
      <c r="E311" s="1046"/>
      <c r="F311" s="1046"/>
    </row>
    <row r="312" spans="1:6" ht="45" x14ac:dyDescent="0.25">
      <c r="A312" s="843" t="s">
        <v>450</v>
      </c>
      <c r="B312" s="1045">
        <v>41421</v>
      </c>
      <c r="C312" s="1045">
        <v>41969</v>
      </c>
      <c r="D312" s="1046">
        <v>849000</v>
      </c>
      <c r="E312" s="1046">
        <v>849000</v>
      </c>
      <c r="F312" s="1046">
        <v>0</v>
      </c>
    </row>
    <row r="313" spans="1:6" x14ac:dyDescent="0.25">
      <c r="A313" s="843" t="s">
        <v>133</v>
      </c>
      <c r="B313" s="1043"/>
      <c r="C313" s="1043"/>
      <c r="D313" s="1044"/>
      <c r="E313" s="1044"/>
      <c r="F313" s="1044"/>
    </row>
    <row r="314" spans="1:6" x14ac:dyDescent="0.25">
      <c r="A314" s="843" t="s">
        <v>134</v>
      </c>
      <c r="B314" s="1043"/>
      <c r="C314" s="1043"/>
      <c r="D314" s="1044"/>
      <c r="E314" s="1044"/>
      <c r="F314" s="1044"/>
    </row>
    <row r="315" spans="1:6" ht="30" x14ac:dyDescent="0.25">
      <c r="A315" s="843" t="s">
        <v>356</v>
      </c>
      <c r="B315" s="1043">
        <v>41459</v>
      </c>
      <c r="C315" s="1043">
        <v>41823</v>
      </c>
      <c r="D315" s="1044">
        <v>15000000</v>
      </c>
      <c r="E315" s="1044">
        <v>5368620</v>
      </c>
      <c r="F315" s="1044">
        <v>9631380</v>
      </c>
    </row>
    <row r="316" spans="1:6" x14ac:dyDescent="0.25">
      <c r="A316" s="843" t="s">
        <v>135</v>
      </c>
      <c r="B316" s="1043"/>
      <c r="C316" s="1043"/>
      <c r="D316" s="1044"/>
      <c r="E316" s="1044"/>
      <c r="F316" s="1044"/>
    </row>
    <row r="317" spans="1:6" x14ac:dyDescent="0.25">
      <c r="A317" s="843" t="s">
        <v>38</v>
      </c>
      <c r="B317" s="1043"/>
      <c r="C317" s="1043"/>
      <c r="D317" s="1044"/>
      <c r="E317" s="1044"/>
      <c r="F317" s="1044"/>
    </row>
    <row r="318" spans="1:6" ht="30" x14ac:dyDescent="0.25">
      <c r="A318" s="843" t="s">
        <v>327</v>
      </c>
      <c r="B318" s="1043">
        <v>41426</v>
      </c>
      <c r="C318" s="1043">
        <v>41820</v>
      </c>
      <c r="D318" s="1044">
        <v>35904847</v>
      </c>
      <c r="E318" s="1044">
        <v>35904845</v>
      </c>
      <c r="F318" s="1044">
        <v>2</v>
      </c>
    </row>
    <row r="319" spans="1:6" x14ac:dyDescent="0.25">
      <c r="A319" s="843" t="s">
        <v>136</v>
      </c>
      <c r="B319" s="1043"/>
      <c r="C319" s="1043"/>
      <c r="D319" s="1044"/>
      <c r="E319" s="1044"/>
      <c r="F319" s="1044"/>
    </row>
    <row r="320" spans="1:6" x14ac:dyDescent="0.25">
      <c r="A320" s="843" t="s">
        <v>137</v>
      </c>
      <c r="B320" s="1043"/>
      <c r="C320" s="1043"/>
      <c r="D320" s="1044"/>
      <c r="E320" s="1044"/>
      <c r="F320" s="1044"/>
    </row>
    <row r="321" spans="1:6" ht="30" x14ac:dyDescent="0.25">
      <c r="A321" s="843" t="s">
        <v>469</v>
      </c>
      <c r="B321" s="1043">
        <v>41416</v>
      </c>
      <c r="C321" s="1043">
        <v>41660</v>
      </c>
      <c r="D321" s="1044">
        <v>40000000</v>
      </c>
      <c r="E321" s="1044">
        <v>16667000</v>
      </c>
      <c r="F321" s="1044">
        <v>23333000</v>
      </c>
    </row>
    <row r="322" spans="1:6" x14ac:dyDescent="0.25">
      <c r="A322" s="843" t="s">
        <v>202</v>
      </c>
      <c r="B322" s="1043"/>
      <c r="C322" s="1043"/>
      <c r="D322" s="1044"/>
      <c r="E322" s="1044"/>
      <c r="F322" s="1044"/>
    </row>
    <row r="323" spans="1:6" x14ac:dyDescent="0.25">
      <c r="A323" s="843" t="s">
        <v>203</v>
      </c>
      <c r="B323" s="1043"/>
      <c r="C323" s="1043"/>
      <c r="D323" s="1044"/>
      <c r="E323" s="1044"/>
      <c r="F323" s="1044"/>
    </row>
    <row r="324" spans="1:6" ht="30" x14ac:dyDescent="0.25">
      <c r="A324" s="843" t="s">
        <v>470</v>
      </c>
      <c r="B324" s="1043">
        <v>41548</v>
      </c>
      <c r="C324" s="1043">
        <v>41578</v>
      </c>
      <c r="D324" s="1044">
        <v>4524000</v>
      </c>
      <c r="E324" s="1044">
        <v>4524000</v>
      </c>
      <c r="F324" s="1044">
        <v>0</v>
      </c>
    </row>
    <row r="325" spans="1:6" x14ac:dyDescent="0.25">
      <c r="A325" s="843" t="s">
        <v>138</v>
      </c>
      <c r="B325" s="1043"/>
      <c r="C325" s="1043"/>
      <c r="D325" s="1044"/>
      <c r="E325" s="1044"/>
      <c r="F325" s="1044"/>
    </row>
    <row r="326" spans="1:6" x14ac:dyDescent="0.25">
      <c r="A326" s="843" t="s">
        <v>1034</v>
      </c>
      <c r="B326" s="1043"/>
      <c r="C326" s="1043"/>
      <c r="D326" s="1044"/>
      <c r="E326" s="1044"/>
      <c r="F326" s="1044"/>
    </row>
    <row r="327" spans="1:6" ht="45" x14ac:dyDescent="0.25">
      <c r="A327" s="843" t="s">
        <v>357</v>
      </c>
      <c r="B327" s="1043">
        <v>41421</v>
      </c>
      <c r="C327" s="1043">
        <v>41665</v>
      </c>
      <c r="D327" s="1044">
        <v>20800000</v>
      </c>
      <c r="E327" s="1044">
        <v>20800000</v>
      </c>
      <c r="F327" s="1044">
        <v>0</v>
      </c>
    </row>
    <row r="328" spans="1:6" x14ac:dyDescent="0.25">
      <c r="A328" s="843" t="s">
        <v>139</v>
      </c>
      <c r="B328" s="1043"/>
      <c r="C328" s="1043"/>
      <c r="D328" s="1044"/>
      <c r="E328" s="1044"/>
      <c r="F328" s="1044"/>
    </row>
    <row r="329" spans="1:6" x14ac:dyDescent="0.25">
      <c r="A329" s="843" t="s">
        <v>140</v>
      </c>
      <c r="B329" s="1043"/>
      <c r="C329" s="1043"/>
      <c r="D329" s="1044"/>
      <c r="E329" s="1044"/>
      <c r="F329" s="1044"/>
    </row>
    <row r="330" spans="1:6" ht="75" x14ac:dyDescent="0.25">
      <c r="A330" s="843" t="s">
        <v>1053</v>
      </c>
      <c r="B330" s="1043">
        <v>41423</v>
      </c>
      <c r="C330" s="1043">
        <v>41667</v>
      </c>
      <c r="D330" s="1044">
        <v>28000000</v>
      </c>
      <c r="E330" s="1044">
        <v>28000000</v>
      </c>
      <c r="F330" s="1044">
        <v>0</v>
      </c>
    </row>
    <row r="331" spans="1:6" x14ac:dyDescent="0.25">
      <c r="A331" s="843" t="s">
        <v>141</v>
      </c>
      <c r="B331" s="1043"/>
      <c r="C331" s="1043"/>
      <c r="D331" s="1044"/>
      <c r="E331" s="1044"/>
      <c r="F331" s="1044"/>
    </row>
    <row r="332" spans="1:6" x14ac:dyDescent="0.25">
      <c r="A332" s="843" t="s">
        <v>142</v>
      </c>
      <c r="B332" s="1043"/>
      <c r="C332" s="1043"/>
      <c r="D332" s="1044"/>
      <c r="E332" s="1044"/>
      <c r="F332" s="1044"/>
    </row>
    <row r="333" spans="1:6" ht="45" x14ac:dyDescent="0.25">
      <c r="A333" s="843" t="s">
        <v>471</v>
      </c>
      <c r="B333" s="1043">
        <v>41457</v>
      </c>
      <c r="C333" s="1043">
        <v>41501</v>
      </c>
      <c r="D333" s="1044">
        <v>266580829</v>
      </c>
      <c r="E333" s="1044">
        <v>266580829</v>
      </c>
      <c r="F333" s="1044">
        <v>0</v>
      </c>
    </row>
    <row r="334" spans="1:6" x14ac:dyDescent="0.25">
      <c r="A334" s="843" t="s">
        <v>143</v>
      </c>
      <c r="B334" s="1043"/>
      <c r="C334" s="1043"/>
      <c r="D334" s="1044"/>
      <c r="E334" s="1044"/>
      <c r="F334" s="1044"/>
    </row>
    <row r="335" spans="1:6" x14ac:dyDescent="0.25">
      <c r="A335" s="843" t="s">
        <v>144</v>
      </c>
      <c r="B335" s="1043"/>
      <c r="C335" s="1043"/>
      <c r="D335" s="1044"/>
      <c r="E335" s="1044"/>
      <c r="F335" s="1044"/>
    </row>
    <row r="336" spans="1:6" ht="30" x14ac:dyDescent="0.25">
      <c r="A336" s="843" t="s">
        <v>358</v>
      </c>
      <c r="B336" s="1043">
        <v>41463</v>
      </c>
      <c r="C336" s="1043">
        <v>41849</v>
      </c>
      <c r="D336" s="1044">
        <v>348897514</v>
      </c>
      <c r="E336" s="1044">
        <v>348897514</v>
      </c>
      <c r="F336" s="1044">
        <v>0</v>
      </c>
    </row>
    <row r="337" spans="1:6" x14ac:dyDescent="0.25">
      <c r="A337" s="843" t="s">
        <v>145</v>
      </c>
      <c r="B337" s="1043"/>
      <c r="C337" s="1043"/>
      <c r="D337" s="1044"/>
      <c r="E337" s="1044"/>
      <c r="F337" s="1044"/>
    </row>
    <row r="338" spans="1:6" x14ac:dyDescent="0.25">
      <c r="A338" s="843" t="s">
        <v>43</v>
      </c>
      <c r="B338" s="1043"/>
      <c r="C338" s="1043"/>
      <c r="D338" s="1044"/>
      <c r="E338" s="1044"/>
      <c r="F338" s="1044"/>
    </row>
    <row r="339" spans="1:6" ht="45" x14ac:dyDescent="0.25">
      <c r="A339" s="843" t="s">
        <v>1462</v>
      </c>
      <c r="B339" s="1043">
        <v>41463</v>
      </c>
      <c r="C339" s="1043">
        <v>41736</v>
      </c>
      <c r="D339" s="1044">
        <v>23246000</v>
      </c>
      <c r="E339" s="1044">
        <v>19772977</v>
      </c>
      <c r="F339" s="1044">
        <v>3473023</v>
      </c>
    </row>
    <row r="340" spans="1:6" x14ac:dyDescent="0.25">
      <c r="A340" s="843" t="s">
        <v>146</v>
      </c>
      <c r="B340" s="1043"/>
      <c r="C340" s="1043"/>
      <c r="D340" s="1044"/>
      <c r="E340" s="1044"/>
      <c r="F340" s="1044"/>
    </row>
    <row r="341" spans="1:6" x14ac:dyDescent="0.25">
      <c r="A341" s="843" t="s">
        <v>1018</v>
      </c>
      <c r="B341" s="1043"/>
      <c r="C341" s="1043"/>
      <c r="D341" s="1044"/>
      <c r="E341" s="1044"/>
      <c r="F341" s="1044"/>
    </row>
    <row r="342" spans="1:6" ht="30" x14ac:dyDescent="0.25">
      <c r="A342" s="843" t="s">
        <v>313</v>
      </c>
      <c r="B342" s="1043">
        <v>41446</v>
      </c>
      <c r="C342" s="1043">
        <v>41810</v>
      </c>
      <c r="D342" s="1044">
        <v>321573359</v>
      </c>
      <c r="E342" s="1044">
        <v>317232018</v>
      </c>
      <c r="F342" s="1044">
        <v>4341341</v>
      </c>
    </row>
    <row r="343" spans="1:6" x14ac:dyDescent="0.25">
      <c r="A343" s="843" t="s">
        <v>147</v>
      </c>
      <c r="B343" s="1043"/>
      <c r="C343" s="1043"/>
      <c r="D343" s="1044"/>
      <c r="E343" s="1044"/>
      <c r="F343" s="1044"/>
    </row>
    <row r="344" spans="1:6" x14ac:dyDescent="0.25">
      <c r="A344" s="843" t="s">
        <v>148</v>
      </c>
      <c r="B344" s="1043"/>
      <c r="C344" s="1043"/>
      <c r="D344" s="1044"/>
      <c r="E344" s="1044"/>
      <c r="F344" s="1044"/>
    </row>
    <row r="345" spans="1:6" ht="60" x14ac:dyDescent="0.25">
      <c r="A345" s="843" t="s">
        <v>472</v>
      </c>
      <c r="B345" s="1043">
        <v>41464</v>
      </c>
      <c r="C345" s="1043">
        <v>41851</v>
      </c>
      <c r="D345" s="1044">
        <v>22292691</v>
      </c>
      <c r="E345" s="1044">
        <v>22292691</v>
      </c>
      <c r="F345" s="1044">
        <v>0</v>
      </c>
    </row>
    <row r="346" spans="1:6" x14ac:dyDescent="0.25">
      <c r="A346" s="843" t="s">
        <v>155</v>
      </c>
      <c r="B346" s="1043"/>
      <c r="C346" s="1043"/>
      <c r="D346" s="1044"/>
      <c r="E346" s="1044"/>
      <c r="F346" s="1044"/>
    </row>
    <row r="347" spans="1:6" x14ac:dyDescent="0.25">
      <c r="A347" s="843" t="s">
        <v>1035</v>
      </c>
      <c r="B347" s="1043"/>
      <c r="C347" s="1043"/>
      <c r="D347" s="1044"/>
      <c r="E347" s="1044"/>
      <c r="F347" s="1044"/>
    </row>
    <row r="348" spans="1:6" ht="60" x14ac:dyDescent="0.25">
      <c r="A348" s="843" t="s">
        <v>359</v>
      </c>
      <c r="B348" s="1043">
        <v>41457</v>
      </c>
      <c r="C348" s="1043">
        <v>41671</v>
      </c>
      <c r="D348" s="1044">
        <v>23989000</v>
      </c>
      <c r="E348" s="1044">
        <v>23989000</v>
      </c>
      <c r="F348" s="1044">
        <v>0</v>
      </c>
    </row>
    <row r="349" spans="1:6" x14ac:dyDescent="0.25">
      <c r="A349" s="843" t="s">
        <v>156</v>
      </c>
      <c r="B349" s="1043"/>
      <c r="C349" s="1043"/>
      <c r="D349" s="1044"/>
      <c r="E349" s="1044"/>
      <c r="F349" s="1044"/>
    </row>
    <row r="350" spans="1:6" x14ac:dyDescent="0.25">
      <c r="A350" s="843" t="s">
        <v>53</v>
      </c>
      <c r="B350" s="1043"/>
      <c r="C350" s="1043"/>
      <c r="D350" s="1044"/>
      <c r="E350" s="1044"/>
      <c r="F350" s="1044"/>
    </row>
    <row r="351" spans="1:6" ht="30" x14ac:dyDescent="0.25">
      <c r="A351" s="843" t="s">
        <v>332</v>
      </c>
      <c r="B351" s="1043">
        <v>41470</v>
      </c>
      <c r="C351" s="1043">
        <v>41712</v>
      </c>
      <c r="D351" s="1044">
        <v>19576000</v>
      </c>
      <c r="E351" s="1044">
        <v>19571370</v>
      </c>
      <c r="F351" s="1044">
        <v>4630</v>
      </c>
    </row>
    <row r="352" spans="1:6" x14ac:dyDescent="0.25">
      <c r="A352" s="843" t="s">
        <v>157</v>
      </c>
      <c r="B352" s="1043"/>
      <c r="C352" s="1043"/>
      <c r="D352" s="1044"/>
      <c r="E352" s="1044"/>
      <c r="F352" s="1044"/>
    </row>
    <row r="353" spans="1:6" x14ac:dyDescent="0.25">
      <c r="A353" s="843" t="s">
        <v>158</v>
      </c>
      <c r="B353" s="1043"/>
      <c r="C353" s="1043"/>
      <c r="D353" s="1044"/>
      <c r="E353" s="1044"/>
      <c r="F353" s="1044"/>
    </row>
    <row r="354" spans="1:6" ht="30" x14ac:dyDescent="0.25">
      <c r="A354" s="843" t="s">
        <v>473</v>
      </c>
      <c r="B354" s="1043">
        <v>41471</v>
      </c>
      <c r="C354" s="1043">
        <v>41562</v>
      </c>
      <c r="D354" s="1044">
        <v>6499930</v>
      </c>
      <c r="E354" s="1044">
        <v>6499930</v>
      </c>
      <c r="F354" s="1044">
        <v>0</v>
      </c>
    </row>
    <row r="355" spans="1:6" x14ac:dyDescent="0.25">
      <c r="A355" s="843" t="s">
        <v>159</v>
      </c>
      <c r="B355" s="1043"/>
      <c r="C355" s="1043"/>
      <c r="D355" s="1044"/>
      <c r="E355" s="1044"/>
      <c r="F355" s="1044"/>
    </row>
    <row r="356" spans="1:6" x14ac:dyDescent="0.25">
      <c r="A356" s="843" t="s">
        <v>160</v>
      </c>
      <c r="B356" s="1043"/>
      <c r="C356" s="1043"/>
      <c r="D356" s="1044"/>
      <c r="E356" s="1044"/>
      <c r="F356" s="1044"/>
    </row>
    <row r="357" spans="1:6" ht="45" x14ac:dyDescent="0.25">
      <c r="A357" s="843" t="s">
        <v>474</v>
      </c>
      <c r="B357" s="1043">
        <v>41472</v>
      </c>
      <c r="C357" s="1043">
        <v>41533</v>
      </c>
      <c r="D357" s="1044">
        <v>2367000</v>
      </c>
      <c r="E357" s="1044">
        <v>2367000</v>
      </c>
      <c r="F357" s="1044">
        <v>0</v>
      </c>
    </row>
    <row r="358" spans="1:6" x14ac:dyDescent="0.25">
      <c r="A358" s="843" t="s">
        <v>164</v>
      </c>
      <c r="B358" s="1043"/>
      <c r="C358" s="1043"/>
      <c r="D358" s="1044"/>
      <c r="E358" s="1044"/>
      <c r="F358" s="1044"/>
    </row>
    <row r="359" spans="1:6" x14ac:dyDescent="0.25">
      <c r="A359" s="843" t="s">
        <v>165</v>
      </c>
      <c r="B359" s="1043"/>
      <c r="C359" s="1043"/>
      <c r="D359" s="1044"/>
      <c r="E359" s="1044"/>
      <c r="F359" s="1044"/>
    </row>
    <row r="360" spans="1:6" ht="45" x14ac:dyDescent="0.25">
      <c r="A360" s="843" t="s">
        <v>1445</v>
      </c>
      <c r="B360" s="1043">
        <v>41464</v>
      </c>
      <c r="C360" s="1043">
        <v>41820</v>
      </c>
      <c r="D360" s="1044">
        <v>269441460</v>
      </c>
      <c r="E360" s="1044">
        <v>265223666</v>
      </c>
      <c r="F360" s="1044">
        <v>4217794</v>
      </c>
    </row>
    <row r="361" spans="1:6" x14ac:dyDescent="0.25">
      <c r="A361" s="843" t="s">
        <v>190</v>
      </c>
      <c r="B361" s="1043"/>
      <c r="C361" s="1043"/>
      <c r="D361" s="1044"/>
      <c r="E361" s="1044"/>
      <c r="F361" s="1044"/>
    </row>
    <row r="362" spans="1:6" x14ac:dyDescent="0.25">
      <c r="A362" s="843" t="s">
        <v>29</v>
      </c>
      <c r="B362" s="1043"/>
      <c r="C362" s="1043"/>
      <c r="D362" s="1044"/>
      <c r="E362" s="1044"/>
      <c r="F362" s="1044"/>
    </row>
    <row r="363" spans="1:6" x14ac:dyDescent="0.25">
      <c r="A363" s="843" t="s">
        <v>404</v>
      </c>
      <c r="B363" s="1043">
        <v>41531</v>
      </c>
      <c r="C363" s="1043">
        <v>41895</v>
      </c>
      <c r="D363" s="1044">
        <v>840000</v>
      </c>
      <c r="E363" s="1044">
        <v>840000</v>
      </c>
      <c r="F363" s="1044">
        <v>0</v>
      </c>
    </row>
    <row r="364" spans="1:6" x14ac:dyDescent="0.25">
      <c r="A364" s="843" t="s">
        <v>166</v>
      </c>
      <c r="B364" s="1043"/>
      <c r="C364" s="1043"/>
      <c r="D364" s="1044"/>
      <c r="E364" s="1044"/>
      <c r="F364" s="1044"/>
    </row>
    <row r="365" spans="1:6" x14ac:dyDescent="0.25">
      <c r="A365" s="843" t="s">
        <v>1025</v>
      </c>
      <c r="B365" s="1043"/>
      <c r="C365" s="1043"/>
      <c r="D365" s="1044"/>
      <c r="E365" s="1044"/>
      <c r="F365" s="1044"/>
    </row>
    <row r="366" spans="1:6" ht="30" x14ac:dyDescent="0.25">
      <c r="A366" s="843" t="s">
        <v>333</v>
      </c>
      <c r="B366" s="1043">
        <v>41472</v>
      </c>
      <c r="C366" s="1043">
        <v>41714</v>
      </c>
      <c r="D366" s="1044">
        <v>38271000</v>
      </c>
      <c r="E366" s="1044">
        <v>38271000</v>
      </c>
      <c r="F366" s="1044">
        <v>0</v>
      </c>
    </row>
    <row r="367" spans="1:6" x14ac:dyDescent="0.25">
      <c r="A367" s="1047" t="s">
        <v>175</v>
      </c>
      <c r="B367" s="1045"/>
      <c r="C367" s="1045"/>
      <c r="D367" s="1046"/>
      <c r="E367" s="1046"/>
      <c r="F367" s="1046"/>
    </row>
    <row r="368" spans="1:6" x14ac:dyDescent="0.25">
      <c r="A368" s="843" t="s">
        <v>176</v>
      </c>
      <c r="B368" s="1045"/>
      <c r="C368" s="1045"/>
      <c r="D368" s="1046"/>
      <c r="E368" s="1046"/>
      <c r="F368" s="1046"/>
    </row>
    <row r="369" spans="1:6" ht="45" x14ac:dyDescent="0.25">
      <c r="A369" s="843" t="s">
        <v>475</v>
      </c>
      <c r="B369" s="1045">
        <v>41472</v>
      </c>
      <c r="C369" s="1045">
        <v>42082</v>
      </c>
      <c r="D369" s="1046">
        <v>4001000</v>
      </c>
      <c r="E369" s="1046">
        <v>4001000</v>
      </c>
      <c r="F369" s="1046">
        <v>0</v>
      </c>
    </row>
    <row r="370" spans="1:6" x14ac:dyDescent="0.25">
      <c r="A370" s="843" t="s">
        <v>197</v>
      </c>
      <c r="B370" s="1043"/>
      <c r="C370" s="1043"/>
      <c r="D370" s="1044"/>
      <c r="E370" s="1044"/>
      <c r="F370" s="1044"/>
    </row>
    <row r="371" spans="1:6" x14ac:dyDescent="0.25">
      <c r="A371" s="843" t="s">
        <v>198</v>
      </c>
      <c r="B371" s="1043"/>
      <c r="C371" s="1043"/>
      <c r="D371" s="1044"/>
      <c r="E371" s="1044"/>
      <c r="F371" s="1044"/>
    </row>
    <row r="372" spans="1:6" ht="45" x14ac:dyDescent="0.25">
      <c r="A372" s="843" t="s">
        <v>476</v>
      </c>
      <c r="B372" s="1043">
        <v>41548</v>
      </c>
      <c r="C372" s="1043">
        <v>41790</v>
      </c>
      <c r="D372" s="1044">
        <v>10222000</v>
      </c>
      <c r="E372" s="1044">
        <v>10208006</v>
      </c>
      <c r="F372" s="1044">
        <v>13994</v>
      </c>
    </row>
    <row r="373" spans="1:6" x14ac:dyDescent="0.25">
      <c r="A373" s="843" t="s">
        <v>167</v>
      </c>
      <c r="B373" s="1043"/>
      <c r="C373" s="1043"/>
      <c r="D373" s="1044"/>
      <c r="E373" s="1044"/>
      <c r="F373" s="1044"/>
    </row>
    <row r="374" spans="1:6" x14ac:dyDescent="0.25">
      <c r="A374" s="843" t="s">
        <v>1516</v>
      </c>
      <c r="B374" s="1043"/>
      <c r="C374" s="1043"/>
      <c r="D374" s="1044"/>
      <c r="E374" s="1044"/>
      <c r="F374" s="1044"/>
    </row>
    <row r="375" spans="1:6" ht="60" x14ac:dyDescent="0.25">
      <c r="A375" s="843" t="s">
        <v>361</v>
      </c>
      <c r="B375" s="1043">
        <v>41477</v>
      </c>
      <c r="C375" s="1043">
        <v>41691</v>
      </c>
      <c r="D375" s="1044">
        <v>23989000</v>
      </c>
      <c r="E375" s="1044">
        <v>23989000</v>
      </c>
      <c r="F375" s="1044">
        <v>0</v>
      </c>
    </row>
    <row r="376" spans="1:6" x14ac:dyDescent="0.25">
      <c r="A376" s="843" t="s">
        <v>178</v>
      </c>
      <c r="B376" s="1043"/>
      <c r="C376" s="1043"/>
      <c r="D376" s="1044"/>
      <c r="E376" s="1044"/>
      <c r="F376" s="1044"/>
    </row>
    <row r="377" spans="1:6" x14ac:dyDescent="0.25">
      <c r="A377" s="843" t="s">
        <v>33</v>
      </c>
      <c r="B377" s="1043"/>
      <c r="C377" s="1043"/>
      <c r="D377" s="1044"/>
      <c r="E377" s="1044"/>
      <c r="F377" s="1044"/>
    </row>
    <row r="378" spans="1:6" x14ac:dyDescent="0.25">
      <c r="A378" s="843" t="s">
        <v>477</v>
      </c>
      <c r="B378" s="1043">
        <v>41547</v>
      </c>
      <c r="C378" s="1043">
        <v>41911</v>
      </c>
      <c r="D378" s="1044">
        <v>795000</v>
      </c>
      <c r="E378" s="1044">
        <v>795000</v>
      </c>
      <c r="F378" s="1044">
        <v>0</v>
      </c>
    </row>
    <row r="379" spans="1:6" x14ac:dyDescent="0.25">
      <c r="A379" s="843" t="s">
        <v>189</v>
      </c>
      <c r="B379" s="1043"/>
      <c r="C379" s="1043"/>
      <c r="D379" s="1044"/>
      <c r="E379" s="1044"/>
      <c r="F379" s="1044"/>
    </row>
    <row r="380" spans="1:6" x14ac:dyDescent="0.25">
      <c r="A380" s="843" t="s">
        <v>13</v>
      </c>
      <c r="B380" s="1043"/>
      <c r="C380" s="1043"/>
      <c r="D380" s="1044"/>
      <c r="E380" s="1044"/>
      <c r="F380" s="1044"/>
    </row>
    <row r="381" spans="1:6" x14ac:dyDescent="0.25">
      <c r="A381" s="843" t="s">
        <v>478</v>
      </c>
      <c r="B381" s="1043">
        <v>41528</v>
      </c>
      <c r="C381" s="1043">
        <v>41892</v>
      </c>
      <c r="D381" s="1044">
        <v>936000</v>
      </c>
      <c r="E381" s="1044">
        <v>936000</v>
      </c>
      <c r="F381" s="1044">
        <v>0</v>
      </c>
    </row>
    <row r="382" spans="1:6" x14ac:dyDescent="0.25">
      <c r="A382" s="843" t="s">
        <v>168</v>
      </c>
      <c r="B382" s="1043"/>
      <c r="C382" s="1043"/>
      <c r="D382" s="1044"/>
      <c r="E382" s="1044"/>
      <c r="F382" s="1044"/>
    </row>
    <row r="383" spans="1:6" x14ac:dyDescent="0.25">
      <c r="A383" s="843" t="s">
        <v>169</v>
      </c>
      <c r="B383" s="1043"/>
      <c r="C383" s="1043"/>
      <c r="D383" s="1044"/>
      <c r="E383" s="1044"/>
      <c r="F383" s="1044"/>
    </row>
    <row r="384" spans="1:6" ht="45" x14ac:dyDescent="0.25">
      <c r="A384" s="843" t="s">
        <v>362</v>
      </c>
      <c r="B384" s="1043">
        <v>41494</v>
      </c>
      <c r="C384" s="1043">
        <v>41858</v>
      </c>
      <c r="D384" s="1044">
        <v>3847300</v>
      </c>
      <c r="E384" s="1044">
        <v>3847300</v>
      </c>
      <c r="F384" s="1044">
        <v>0</v>
      </c>
    </row>
    <row r="385" spans="1:6" x14ac:dyDescent="0.25">
      <c r="A385" s="843" t="s">
        <v>172</v>
      </c>
      <c r="B385" s="1043"/>
      <c r="C385" s="1043"/>
      <c r="D385" s="1044"/>
      <c r="E385" s="1044"/>
      <c r="F385" s="1044"/>
    </row>
    <row r="386" spans="1:6" x14ac:dyDescent="0.25">
      <c r="A386" s="843" t="s">
        <v>152</v>
      </c>
      <c r="B386" s="1043"/>
      <c r="C386" s="1043"/>
      <c r="D386" s="1044"/>
      <c r="E386" s="1044"/>
      <c r="F386" s="1044"/>
    </row>
    <row r="387" spans="1:6" ht="75" x14ac:dyDescent="0.25">
      <c r="A387" s="843" t="s">
        <v>364</v>
      </c>
      <c r="B387" s="1043">
        <v>41500</v>
      </c>
      <c r="C387" s="1043">
        <v>41864</v>
      </c>
      <c r="D387" s="1044">
        <v>60693200</v>
      </c>
      <c r="E387" s="1044">
        <v>59391828</v>
      </c>
      <c r="F387" s="1044">
        <v>1301372</v>
      </c>
    </row>
    <row r="388" spans="1:6" x14ac:dyDescent="0.25">
      <c r="A388" s="843" t="s">
        <v>173</v>
      </c>
      <c r="B388" s="1043"/>
      <c r="C388" s="1043"/>
      <c r="D388" s="1044"/>
      <c r="E388" s="1044"/>
      <c r="F388" s="1044"/>
    </row>
    <row r="389" spans="1:6" x14ac:dyDescent="0.25">
      <c r="A389" s="843" t="s">
        <v>174</v>
      </c>
      <c r="B389" s="1043"/>
      <c r="C389" s="1043"/>
      <c r="D389" s="1044"/>
      <c r="E389" s="1044"/>
      <c r="F389" s="1044"/>
    </row>
    <row r="390" spans="1:6" ht="60" x14ac:dyDescent="0.25">
      <c r="A390" s="843" t="s">
        <v>365</v>
      </c>
      <c r="B390" s="1043">
        <v>41512</v>
      </c>
      <c r="C390" s="1043">
        <v>41876</v>
      </c>
      <c r="D390" s="1044">
        <v>4393120</v>
      </c>
      <c r="E390" s="1044">
        <v>2578000</v>
      </c>
      <c r="F390" s="1044">
        <v>1815120</v>
      </c>
    </row>
    <row r="391" spans="1:6" x14ac:dyDescent="0.25">
      <c r="A391" s="843" t="s">
        <v>187</v>
      </c>
      <c r="B391" s="1043"/>
      <c r="C391" s="1043"/>
      <c r="D391" s="1044"/>
      <c r="E391" s="1044"/>
      <c r="F391" s="1044"/>
    </row>
    <row r="392" spans="1:6" x14ac:dyDescent="0.25">
      <c r="A392" s="843" t="s">
        <v>188</v>
      </c>
      <c r="B392" s="1043"/>
      <c r="C392" s="1043"/>
      <c r="D392" s="1044"/>
      <c r="E392" s="1044"/>
      <c r="F392" s="1044"/>
    </row>
    <row r="393" spans="1:6" ht="60" x14ac:dyDescent="0.25">
      <c r="A393" s="843" t="s">
        <v>479</v>
      </c>
      <c r="B393" s="1043">
        <v>41523</v>
      </c>
      <c r="C393" s="1043">
        <v>42099</v>
      </c>
      <c r="D393" s="1044">
        <v>25204000</v>
      </c>
      <c r="E393" s="1044">
        <v>25201450</v>
      </c>
      <c r="F393" s="1044">
        <v>2550</v>
      </c>
    </row>
    <row r="394" spans="1:6" x14ac:dyDescent="0.25">
      <c r="A394" s="1047" t="s">
        <v>183</v>
      </c>
      <c r="B394" s="1045"/>
      <c r="C394" s="1045"/>
      <c r="D394" s="1046"/>
      <c r="E394" s="1046"/>
      <c r="F394" s="1046"/>
    </row>
    <row r="395" spans="1:6" x14ac:dyDescent="0.25">
      <c r="A395" s="843" t="s">
        <v>184</v>
      </c>
      <c r="B395" s="1045"/>
      <c r="C395" s="1045"/>
      <c r="D395" s="1046"/>
      <c r="E395" s="1046"/>
      <c r="F395" s="1046"/>
    </row>
    <row r="396" spans="1:6" ht="75" x14ac:dyDescent="0.25">
      <c r="A396" s="843" t="s">
        <v>480</v>
      </c>
      <c r="B396" s="1045">
        <v>41506</v>
      </c>
      <c r="C396" s="1045">
        <v>42055</v>
      </c>
      <c r="D396" s="1046">
        <v>130384697</v>
      </c>
      <c r="E396" s="1046">
        <v>96359635</v>
      </c>
      <c r="F396" s="1046">
        <v>34025062</v>
      </c>
    </row>
    <row r="397" spans="1:6" x14ac:dyDescent="0.25">
      <c r="A397" s="843" t="s">
        <v>185</v>
      </c>
      <c r="B397" s="1043"/>
      <c r="C397" s="1043"/>
      <c r="D397" s="1044"/>
      <c r="E397" s="1044"/>
      <c r="F397" s="1044"/>
    </row>
    <row r="398" spans="1:6" x14ac:dyDescent="0.25">
      <c r="A398" s="843" t="s">
        <v>186</v>
      </c>
      <c r="B398" s="1043"/>
      <c r="C398" s="1043"/>
      <c r="D398" s="1044"/>
      <c r="E398" s="1044"/>
      <c r="F398" s="1044"/>
    </row>
    <row r="399" spans="1:6" ht="75" x14ac:dyDescent="0.25">
      <c r="A399" s="843" t="s">
        <v>481</v>
      </c>
      <c r="B399" s="1043">
        <v>41533</v>
      </c>
      <c r="C399" s="1043">
        <v>41897</v>
      </c>
      <c r="D399" s="1044">
        <v>45056000</v>
      </c>
      <c r="E399" s="1044">
        <v>25056000</v>
      </c>
      <c r="F399" s="1044">
        <v>20000000</v>
      </c>
    </row>
    <row r="400" spans="1:6" x14ac:dyDescent="0.25">
      <c r="A400" s="843" t="s">
        <v>195</v>
      </c>
      <c r="B400" s="1043"/>
      <c r="C400" s="1043"/>
      <c r="D400" s="1044"/>
      <c r="E400" s="1044"/>
      <c r="F400" s="1044"/>
    </row>
    <row r="401" spans="1:6" x14ac:dyDescent="0.25">
      <c r="A401" s="843" t="s">
        <v>1037</v>
      </c>
      <c r="B401" s="1043"/>
      <c r="C401" s="1043"/>
      <c r="D401" s="1044"/>
      <c r="E401" s="1044"/>
      <c r="F401" s="1044"/>
    </row>
    <row r="402" spans="1:6" ht="90" x14ac:dyDescent="0.25">
      <c r="A402" s="843" t="s">
        <v>482</v>
      </c>
      <c r="B402" s="1043">
        <v>41541</v>
      </c>
      <c r="C402" s="1043">
        <v>41782</v>
      </c>
      <c r="D402" s="1044">
        <v>114225288</v>
      </c>
      <c r="E402" s="1044">
        <v>114217068</v>
      </c>
      <c r="F402" s="1044">
        <v>8220</v>
      </c>
    </row>
    <row r="403" spans="1:6" x14ac:dyDescent="0.25">
      <c r="A403" s="843" t="s">
        <v>191</v>
      </c>
      <c r="B403" s="1043"/>
      <c r="C403" s="1043"/>
      <c r="D403" s="1044"/>
      <c r="E403" s="1044"/>
      <c r="F403" s="1044"/>
    </row>
    <row r="404" spans="1:6" x14ac:dyDescent="0.25">
      <c r="A404" s="843" t="s">
        <v>192</v>
      </c>
      <c r="B404" s="1043"/>
      <c r="C404" s="1043"/>
      <c r="D404" s="1044"/>
      <c r="E404" s="1044"/>
      <c r="F404" s="1044"/>
    </row>
    <row r="405" spans="1:6" ht="60" x14ac:dyDescent="0.25">
      <c r="A405" s="843" t="s">
        <v>483</v>
      </c>
      <c r="B405" s="1043">
        <v>41555</v>
      </c>
      <c r="C405" s="1043">
        <v>41615</v>
      </c>
      <c r="D405" s="1044">
        <v>4715000</v>
      </c>
      <c r="E405" s="1044">
        <v>4715000</v>
      </c>
      <c r="F405" s="1044">
        <v>0</v>
      </c>
    </row>
    <row r="406" spans="1:6" x14ac:dyDescent="0.25">
      <c r="A406" s="843" t="s">
        <v>199</v>
      </c>
      <c r="B406" s="1043"/>
      <c r="C406" s="1043"/>
      <c r="D406" s="1044"/>
      <c r="E406" s="1044"/>
      <c r="F406" s="1044"/>
    </row>
    <row r="407" spans="1:6" x14ac:dyDescent="0.25">
      <c r="A407" s="843" t="s">
        <v>1038</v>
      </c>
      <c r="B407" s="1043"/>
      <c r="C407" s="1043"/>
      <c r="D407" s="1044"/>
      <c r="E407" s="1044"/>
      <c r="F407" s="1044"/>
    </row>
    <row r="408" spans="1:6" ht="45" x14ac:dyDescent="0.25">
      <c r="A408" s="843" t="s">
        <v>484</v>
      </c>
      <c r="B408" s="1043">
        <v>41556</v>
      </c>
      <c r="C408" s="1043">
        <v>41890</v>
      </c>
      <c r="D408" s="1044">
        <v>457000000</v>
      </c>
      <c r="E408" s="1044">
        <v>416287285</v>
      </c>
      <c r="F408" s="1044">
        <v>40712715</v>
      </c>
    </row>
    <row r="409" spans="1:6" x14ac:dyDescent="0.25">
      <c r="A409" s="843" t="s">
        <v>177</v>
      </c>
      <c r="B409" s="1043"/>
      <c r="C409" s="1043"/>
      <c r="D409" s="1044"/>
      <c r="E409" s="1044"/>
      <c r="F409" s="1044"/>
    </row>
    <row r="410" spans="1:6" x14ac:dyDescent="0.25">
      <c r="A410" s="843" t="s">
        <v>1039</v>
      </c>
      <c r="B410" s="1043"/>
      <c r="C410" s="1043"/>
      <c r="D410" s="1044"/>
      <c r="E410" s="1044"/>
      <c r="F410" s="1044"/>
    </row>
    <row r="411" spans="1:6" ht="75" x14ac:dyDescent="0.25">
      <c r="A411" s="843" t="s">
        <v>485</v>
      </c>
      <c r="B411" s="1043">
        <v>41554</v>
      </c>
      <c r="C411" s="1043">
        <v>41645</v>
      </c>
      <c r="D411" s="1044">
        <v>3356320</v>
      </c>
      <c r="E411" s="1044">
        <v>3356320</v>
      </c>
      <c r="F411" s="1044">
        <v>0</v>
      </c>
    </row>
    <row r="412" spans="1:6" x14ac:dyDescent="0.25">
      <c r="A412" s="1047" t="s">
        <v>193</v>
      </c>
      <c r="B412" s="1045"/>
      <c r="C412" s="1045"/>
      <c r="D412" s="1046"/>
      <c r="E412" s="1046"/>
      <c r="F412" s="1046"/>
    </row>
    <row r="413" spans="1:6" x14ac:dyDescent="0.25">
      <c r="A413" s="843" t="s">
        <v>194</v>
      </c>
      <c r="B413" s="1045"/>
      <c r="C413" s="1045"/>
      <c r="D413" s="1046"/>
      <c r="E413" s="1046"/>
      <c r="F413" s="1046"/>
    </row>
    <row r="414" spans="1:6" ht="45" x14ac:dyDescent="0.25">
      <c r="A414" s="843" t="s">
        <v>486</v>
      </c>
      <c r="B414" s="1045">
        <v>41555</v>
      </c>
      <c r="C414" s="1045">
        <v>41935</v>
      </c>
      <c r="D414" s="1046">
        <v>19965572</v>
      </c>
      <c r="E414" s="1046">
        <v>19965572</v>
      </c>
      <c r="F414" s="1046">
        <v>0</v>
      </c>
    </row>
    <row r="415" spans="1:6" x14ac:dyDescent="0.25">
      <c r="A415" s="1047" t="s">
        <v>196</v>
      </c>
      <c r="B415" s="1045"/>
      <c r="C415" s="1045"/>
      <c r="D415" s="1046"/>
      <c r="E415" s="1046"/>
      <c r="F415" s="1046"/>
    </row>
    <row r="416" spans="1:6" x14ac:dyDescent="0.25">
      <c r="A416" s="843" t="s">
        <v>22</v>
      </c>
      <c r="B416" s="1045"/>
      <c r="C416" s="1045"/>
      <c r="D416" s="1046"/>
      <c r="E416" s="1046"/>
      <c r="F416" s="1046"/>
    </row>
    <row r="417" spans="1:6" ht="30" x14ac:dyDescent="0.25">
      <c r="A417" s="843" t="s">
        <v>487</v>
      </c>
      <c r="B417" s="1045">
        <v>41562</v>
      </c>
      <c r="C417" s="1045">
        <v>41926</v>
      </c>
      <c r="D417" s="1046">
        <v>38280000</v>
      </c>
      <c r="E417" s="1046">
        <v>38280000</v>
      </c>
      <c r="F417" s="1046">
        <v>0</v>
      </c>
    </row>
    <row r="418" spans="1:6" x14ac:dyDescent="0.25">
      <c r="A418" s="843" t="s">
        <v>200</v>
      </c>
      <c r="B418" s="1043"/>
      <c r="C418" s="1043"/>
      <c r="D418" s="1044"/>
      <c r="E418" s="1044"/>
      <c r="F418" s="1044"/>
    </row>
    <row r="419" spans="1:6" x14ac:dyDescent="0.25">
      <c r="A419" s="843" t="s">
        <v>201</v>
      </c>
      <c r="B419" s="1043"/>
      <c r="C419" s="1043"/>
      <c r="D419" s="1044"/>
      <c r="E419" s="1044"/>
      <c r="F419" s="1044"/>
    </row>
    <row r="420" spans="1:6" ht="45" x14ac:dyDescent="0.25">
      <c r="A420" s="843" t="s">
        <v>488</v>
      </c>
      <c r="B420" s="1043">
        <v>41562</v>
      </c>
      <c r="C420" s="1043">
        <v>41592</v>
      </c>
      <c r="D420" s="1044">
        <v>26073552</v>
      </c>
      <c r="E420" s="1044">
        <v>26073552</v>
      </c>
      <c r="F420" s="1044">
        <v>0</v>
      </c>
    </row>
    <row r="421" spans="1:6" x14ac:dyDescent="0.25">
      <c r="A421" s="843" t="s">
        <v>204</v>
      </c>
      <c r="B421" s="1043"/>
      <c r="C421" s="1043"/>
      <c r="D421" s="1044"/>
      <c r="E421" s="1044"/>
      <c r="F421" s="1044"/>
    </row>
    <row r="422" spans="1:6" x14ac:dyDescent="0.25">
      <c r="A422" s="843" t="s">
        <v>205</v>
      </c>
      <c r="B422" s="1043"/>
      <c r="C422" s="1043"/>
      <c r="D422" s="1044"/>
      <c r="E422" s="1044"/>
      <c r="F422" s="1044"/>
    </row>
    <row r="423" spans="1:6" ht="45" x14ac:dyDescent="0.25">
      <c r="A423" s="843" t="s">
        <v>489</v>
      </c>
      <c r="B423" s="1043">
        <v>41570</v>
      </c>
      <c r="C423" s="1043">
        <v>41692</v>
      </c>
      <c r="D423" s="1044">
        <v>17262940</v>
      </c>
      <c r="E423" s="1044">
        <v>17262940</v>
      </c>
      <c r="F423" s="1044">
        <v>0</v>
      </c>
    </row>
    <row r="424" spans="1:6" x14ac:dyDescent="0.25">
      <c r="A424" s="1047" t="s">
        <v>206</v>
      </c>
      <c r="B424" s="1045"/>
      <c r="C424" s="1045"/>
      <c r="D424" s="1046"/>
      <c r="E424" s="1046"/>
      <c r="F424" s="1046"/>
    </row>
    <row r="425" spans="1:6" x14ac:dyDescent="0.25">
      <c r="A425" s="843" t="s">
        <v>1020</v>
      </c>
      <c r="B425" s="1045"/>
      <c r="C425" s="1045"/>
      <c r="D425" s="1046"/>
      <c r="E425" s="1046"/>
      <c r="F425" s="1046"/>
    </row>
    <row r="426" spans="1:6" ht="30" x14ac:dyDescent="0.25">
      <c r="A426" s="843" t="s">
        <v>490</v>
      </c>
      <c r="B426" s="1045">
        <v>41575</v>
      </c>
      <c r="C426" s="1045">
        <v>41939</v>
      </c>
      <c r="D426" s="1046">
        <v>810000</v>
      </c>
      <c r="E426" s="1046">
        <v>810000</v>
      </c>
      <c r="F426" s="1046">
        <v>0</v>
      </c>
    </row>
    <row r="427" spans="1:6" x14ac:dyDescent="0.25">
      <c r="A427" s="843" t="s">
        <v>211</v>
      </c>
      <c r="B427" s="1043"/>
      <c r="C427" s="1043"/>
      <c r="D427" s="1044"/>
      <c r="E427" s="1044"/>
      <c r="F427" s="1044"/>
    </row>
    <row r="428" spans="1:6" x14ac:dyDescent="0.25">
      <c r="A428" s="843" t="s">
        <v>212</v>
      </c>
      <c r="B428" s="1043"/>
      <c r="C428" s="1043"/>
      <c r="D428" s="1044"/>
      <c r="E428" s="1044"/>
      <c r="F428" s="1044"/>
    </row>
    <row r="429" spans="1:6" ht="75" x14ac:dyDescent="0.25">
      <c r="A429" s="843" t="s">
        <v>491</v>
      </c>
      <c r="B429" s="1043">
        <v>41590</v>
      </c>
      <c r="C429" s="1043">
        <v>41650</v>
      </c>
      <c r="D429" s="1044">
        <v>5545000</v>
      </c>
      <c r="E429" s="1044">
        <v>5545000</v>
      </c>
      <c r="F429" s="1044">
        <v>0</v>
      </c>
    </row>
    <row r="430" spans="1:6" x14ac:dyDescent="0.25">
      <c r="A430" s="843" t="s">
        <v>209</v>
      </c>
      <c r="B430" s="1043"/>
      <c r="C430" s="1043"/>
      <c r="D430" s="1044"/>
      <c r="E430" s="1044"/>
      <c r="F430" s="1044"/>
    </row>
    <row r="431" spans="1:6" x14ac:dyDescent="0.25">
      <c r="A431" s="843" t="s">
        <v>210</v>
      </c>
      <c r="B431" s="1043"/>
      <c r="C431" s="1043"/>
      <c r="D431" s="1044"/>
      <c r="E431" s="1044"/>
      <c r="F431" s="1044"/>
    </row>
    <row r="432" spans="1:6" ht="75" x14ac:dyDescent="0.25">
      <c r="A432" s="843" t="s">
        <v>1446</v>
      </c>
      <c r="B432" s="1043">
        <v>41590</v>
      </c>
      <c r="C432" s="1043">
        <v>41650</v>
      </c>
      <c r="D432" s="1044">
        <v>19360400</v>
      </c>
      <c r="E432" s="1044">
        <v>19360400</v>
      </c>
      <c r="F432" s="1044">
        <v>0</v>
      </c>
    </row>
    <row r="433" spans="1:6" x14ac:dyDescent="0.25">
      <c r="A433" s="843" t="s">
        <v>207</v>
      </c>
      <c r="B433" s="1043"/>
      <c r="C433" s="1043"/>
      <c r="D433" s="1044"/>
      <c r="E433" s="1044"/>
      <c r="F433" s="1044"/>
    </row>
    <row r="434" spans="1:6" x14ac:dyDescent="0.25">
      <c r="A434" s="843" t="s">
        <v>208</v>
      </c>
      <c r="B434" s="1043"/>
      <c r="C434" s="1043"/>
      <c r="D434" s="1044"/>
      <c r="E434" s="1044"/>
      <c r="F434" s="1044"/>
    </row>
    <row r="435" spans="1:6" ht="30" x14ac:dyDescent="0.25">
      <c r="A435" s="843" t="s">
        <v>492</v>
      </c>
      <c r="B435" s="1043">
        <v>41572</v>
      </c>
      <c r="C435" s="1043">
        <v>41814</v>
      </c>
      <c r="D435" s="1044">
        <v>502280800</v>
      </c>
      <c r="E435" s="1044">
        <v>502247588</v>
      </c>
      <c r="F435" s="1044">
        <v>33212</v>
      </c>
    </row>
    <row r="436" spans="1:6" x14ac:dyDescent="0.25">
      <c r="A436" s="1047" t="s">
        <v>213</v>
      </c>
      <c r="B436" s="1045"/>
      <c r="C436" s="1045"/>
      <c r="D436" s="1046"/>
      <c r="E436" s="1046"/>
      <c r="F436" s="1046"/>
    </row>
    <row r="437" spans="1:6" x14ac:dyDescent="0.25">
      <c r="A437" s="843" t="s">
        <v>1040</v>
      </c>
      <c r="B437" s="1045"/>
      <c r="C437" s="1045"/>
      <c r="D437" s="1046"/>
      <c r="E437" s="1046"/>
      <c r="F437" s="1046"/>
    </row>
    <row r="438" spans="1:6" ht="105" x14ac:dyDescent="0.25">
      <c r="A438" s="843" t="s">
        <v>493</v>
      </c>
      <c r="B438" s="1045">
        <v>41580</v>
      </c>
      <c r="C438" s="1045">
        <v>41975</v>
      </c>
      <c r="D438" s="1046">
        <v>692839272</v>
      </c>
      <c r="E438" s="1046">
        <v>678164443</v>
      </c>
      <c r="F438" s="1046">
        <v>14674829</v>
      </c>
    </row>
    <row r="439" spans="1:6" x14ac:dyDescent="0.25">
      <c r="A439" s="1047" t="s">
        <v>258</v>
      </c>
      <c r="B439" s="1045"/>
      <c r="C439" s="1045"/>
      <c r="D439" s="1046"/>
      <c r="E439" s="1046"/>
      <c r="F439" s="1046"/>
    </row>
    <row r="440" spans="1:6" x14ac:dyDescent="0.25">
      <c r="A440" s="843" t="s">
        <v>259</v>
      </c>
      <c r="B440" s="1045"/>
      <c r="C440" s="1045"/>
      <c r="D440" s="1046"/>
      <c r="E440" s="1046"/>
      <c r="F440" s="1046"/>
    </row>
    <row r="441" spans="1:6" ht="60" x14ac:dyDescent="0.25">
      <c r="A441" s="843" t="s">
        <v>494</v>
      </c>
      <c r="B441" s="1045">
        <v>41696</v>
      </c>
      <c r="C441" s="1045">
        <v>42425</v>
      </c>
      <c r="D441" s="1046">
        <v>0</v>
      </c>
      <c r="E441" s="1046">
        <v>0</v>
      </c>
      <c r="F441" s="1046">
        <v>0</v>
      </c>
    </row>
    <row r="442" spans="1:6" x14ac:dyDescent="0.25">
      <c r="A442" s="1047" t="s">
        <v>309</v>
      </c>
      <c r="B442" s="1045"/>
      <c r="C442" s="1045"/>
      <c r="D442" s="1046"/>
      <c r="E442" s="1046"/>
      <c r="F442" s="1046"/>
    </row>
    <row r="443" spans="1:6" x14ac:dyDescent="0.25">
      <c r="A443" s="843" t="s">
        <v>77</v>
      </c>
      <c r="B443" s="1043"/>
      <c r="C443" s="1043"/>
      <c r="D443" s="1044"/>
      <c r="E443" s="1044"/>
      <c r="F443" s="1044"/>
    </row>
    <row r="444" spans="1:6" ht="60" x14ac:dyDescent="0.25">
      <c r="A444" s="843" t="s">
        <v>1890</v>
      </c>
      <c r="B444" s="1043">
        <v>41864</v>
      </c>
      <c r="C444" s="1043">
        <v>42321</v>
      </c>
      <c r="D444" s="1044">
        <v>398614000</v>
      </c>
      <c r="E444" s="1044">
        <v>398614000</v>
      </c>
      <c r="F444" s="1044">
        <v>0</v>
      </c>
    </row>
    <row r="445" spans="1:6" x14ac:dyDescent="0.25">
      <c r="A445" s="843" t="s">
        <v>234</v>
      </c>
      <c r="B445" s="1043"/>
      <c r="C445" s="1043"/>
      <c r="D445" s="1044"/>
      <c r="E445" s="1044"/>
      <c r="F445" s="1044"/>
    </row>
    <row r="446" spans="1:6" x14ac:dyDescent="0.25">
      <c r="A446" s="843" t="s">
        <v>235</v>
      </c>
      <c r="B446" s="1043"/>
      <c r="C446" s="1043"/>
      <c r="D446" s="1044"/>
      <c r="E446" s="1044"/>
      <c r="F446" s="1044"/>
    </row>
    <row r="447" spans="1:6" ht="60" x14ac:dyDescent="0.25">
      <c r="A447" s="843" t="s">
        <v>367</v>
      </c>
      <c r="B447" s="1043">
        <v>41659</v>
      </c>
      <c r="C447" s="1043">
        <v>41748</v>
      </c>
      <c r="D447" s="1044">
        <v>430036764</v>
      </c>
      <c r="E447" s="1044">
        <v>430036600</v>
      </c>
      <c r="F447" s="1044">
        <v>164</v>
      </c>
    </row>
    <row r="448" spans="1:6" x14ac:dyDescent="0.25">
      <c r="A448" s="843" t="s">
        <v>214</v>
      </c>
      <c r="B448" s="1043"/>
      <c r="C448" s="1043"/>
      <c r="D448" s="1044"/>
      <c r="E448" s="1044"/>
      <c r="F448" s="1044"/>
    </row>
    <row r="449" spans="1:6" x14ac:dyDescent="0.25">
      <c r="A449" s="843" t="s">
        <v>31</v>
      </c>
      <c r="B449" s="1043"/>
      <c r="C449" s="1043"/>
      <c r="D449" s="1044"/>
      <c r="E449" s="1044"/>
      <c r="F449" s="1044"/>
    </row>
    <row r="450" spans="1:6" ht="60" x14ac:dyDescent="0.25">
      <c r="A450" s="843" t="s">
        <v>495</v>
      </c>
      <c r="B450" s="1043">
        <v>41620</v>
      </c>
      <c r="C450" s="1043">
        <v>41681</v>
      </c>
      <c r="D450" s="1044">
        <v>6000000</v>
      </c>
      <c r="E450" s="1044">
        <v>6000000</v>
      </c>
      <c r="F450" s="1044">
        <v>0</v>
      </c>
    </row>
    <row r="451" spans="1:6" x14ac:dyDescent="0.25">
      <c r="A451" s="1047" t="s">
        <v>232</v>
      </c>
      <c r="B451" s="1045"/>
      <c r="C451" s="1045"/>
      <c r="D451" s="1046"/>
      <c r="E451" s="1046"/>
      <c r="F451" s="1046"/>
    </row>
    <row r="452" spans="1:6" x14ac:dyDescent="0.25">
      <c r="A452" s="843" t="s">
        <v>233</v>
      </c>
      <c r="B452" s="1045"/>
      <c r="C452" s="1045"/>
      <c r="D452" s="1046"/>
      <c r="E452" s="1046"/>
      <c r="F452" s="1046"/>
    </row>
    <row r="453" spans="1:6" ht="60" x14ac:dyDescent="0.25">
      <c r="A453" s="843" t="s">
        <v>496</v>
      </c>
      <c r="B453" s="1045">
        <v>41641</v>
      </c>
      <c r="C453" s="1045">
        <v>42005</v>
      </c>
      <c r="D453" s="1046">
        <v>7937504</v>
      </c>
      <c r="E453" s="1046">
        <v>5992064</v>
      </c>
      <c r="F453" s="1046">
        <v>1945440</v>
      </c>
    </row>
    <row r="454" spans="1:6" x14ac:dyDescent="0.25">
      <c r="A454" s="843" t="s">
        <v>215</v>
      </c>
      <c r="B454" s="1043"/>
      <c r="C454" s="1043"/>
      <c r="D454" s="1044"/>
      <c r="E454" s="1044"/>
      <c r="F454" s="1044"/>
    </row>
    <row r="455" spans="1:6" x14ac:dyDescent="0.25">
      <c r="A455" s="843" t="s">
        <v>1599</v>
      </c>
      <c r="B455" s="1043"/>
      <c r="C455" s="1043"/>
      <c r="D455" s="1044"/>
      <c r="E455" s="1044"/>
      <c r="F455" s="1044"/>
    </row>
    <row r="456" spans="1:6" ht="45" x14ac:dyDescent="0.25">
      <c r="A456" s="843" t="s">
        <v>1447</v>
      </c>
      <c r="B456" s="1043">
        <v>41612</v>
      </c>
      <c r="C456" s="1043">
        <v>41658</v>
      </c>
      <c r="D456" s="1044">
        <v>15000000</v>
      </c>
      <c r="E456" s="1044">
        <v>15000000</v>
      </c>
      <c r="F456" s="1044">
        <v>0</v>
      </c>
    </row>
    <row r="457" spans="1:6" x14ac:dyDescent="0.25">
      <c r="A457" s="1047" t="s">
        <v>216</v>
      </c>
      <c r="B457" s="1045"/>
      <c r="C457" s="1045"/>
      <c r="D457" s="1046"/>
      <c r="E457" s="1046"/>
      <c r="F457" s="1046"/>
    </row>
    <row r="458" spans="1:6" x14ac:dyDescent="0.25">
      <c r="A458" s="843" t="s">
        <v>217</v>
      </c>
      <c r="B458" s="1045"/>
      <c r="C458" s="1045"/>
      <c r="D458" s="1046"/>
      <c r="E458" s="1046"/>
      <c r="F458" s="1046"/>
    </row>
    <row r="459" spans="1:6" ht="45" x14ac:dyDescent="0.25">
      <c r="A459" s="843" t="s">
        <v>1129</v>
      </c>
      <c r="B459" s="1043">
        <v>41621</v>
      </c>
      <c r="C459" s="1043">
        <v>41985</v>
      </c>
      <c r="D459" s="1044">
        <v>452974000</v>
      </c>
      <c r="E459" s="1044">
        <v>355062557</v>
      </c>
      <c r="F459" s="1044">
        <v>97911443</v>
      </c>
    </row>
    <row r="460" spans="1:6" x14ac:dyDescent="0.25">
      <c r="A460" s="843" t="s">
        <v>218</v>
      </c>
      <c r="B460" s="1043"/>
      <c r="C460" s="1043"/>
      <c r="D460" s="1044"/>
      <c r="E460" s="1044"/>
      <c r="F460" s="1044"/>
    </row>
    <row r="461" spans="1:6" x14ac:dyDescent="0.25">
      <c r="A461" s="843" t="s">
        <v>219</v>
      </c>
      <c r="B461" s="1043"/>
      <c r="C461" s="1043"/>
      <c r="D461" s="1044"/>
      <c r="E461" s="1044"/>
      <c r="F461" s="1044"/>
    </row>
    <row r="462" spans="1:6" ht="60" x14ac:dyDescent="0.25">
      <c r="A462" s="843" t="s">
        <v>366</v>
      </c>
      <c r="B462" s="1043">
        <v>41647</v>
      </c>
      <c r="C462" s="1043">
        <v>41980</v>
      </c>
      <c r="D462" s="1044">
        <v>95000000</v>
      </c>
      <c r="E462" s="1044">
        <v>88983693</v>
      </c>
      <c r="F462" s="1044">
        <v>6016307</v>
      </c>
    </row>
    <row r="463" spans="1:6" x14ac:dyDescent="0.25">
      <c r="A463" s="843" t="s">
        <v>220</v>
      </c>
      <c r="B463" s="1043"/>
      <c r="C463" s="1043"/>
      <c r="D463" s="1044"/>
      <c r="E463" s="1044"/>
      <c r="F463" s="1044"/>
    </row>
    <row r="464" spans="1:6" x14ac:dyDescent="0.25">
      <c r="A464" s="843" t="s">
        <v>1150</v>
      </c>
      <c r="B464" s="1043"/>
      <c r="C464" s="1043"/>
      <c r="D464" s="1044"/>
      <c r="E464" s="1044"/>
      <c r="F464" s="1044"/>
    </row>
    <row r="465" spans="1:6" x14ac:dyDescent="0.25">
      <c r="A465" s="843" t="s">
        <v>497</v>
      </c>
      <c r="B465" s="1043">
        <v>41626</v>
      </c>
      <c r="C465" s="1043">
        <v>41641</v>
      </c>
      <c r="D465" s="1044">
        <v>63128000</v>
      </c>
      <c r="E465" s="1044">
        <v>63128000</v>
      </c>
      <c r="F465" s="1044">
        <v>0</v>
      </c>
    </row>
    <row r="466" spans="1:6" x14ac:dyDescent="0.25">
      <c r="A466" s="843" t="s">
        <v>227</v>
      </c>
      <c r="B466" s="1043"/>
      <c r="C466" s="1043"/>
      <c r="D466" s="1044"/>
      <c r="E466" s="1044"/>
      <c r="F466" s="1044"/>
    </row>
    <row r="467" spans="1:6" x14ac:dyDescent="0.25">
      <c r="A467" s="843" t="s">
        <v>228</v>
      </c>
      <c r="B467" s="1043"/>
      <c r="C467" s="1043"/>
      <c r="D467" s="1044"/>
      <c r="E467" s="1044"/>
      <c r="F467" s="1044"/>
    </row>
    <row r="468" spans="1:6" ht="45" x14ac:dyDescent="0.25">
      <c r="A468" s="843" t="s">
        <v>498</v>
      </c>
      <c r="B468" s="1043">
        <v>41628</v>
      </c>
      <c r="C468" s="1043">
        <v>41658</v>
      </c>
      <c r="D468" s="1044">
        <v>5000000</v>
      </c>
      <c r="E468" s="1044">
        <v>5000000</v>
      </c>
      <c r="F468" s="1044">
        <v>0</v>
      </c>
    </row>
    <row r="469" spans="1:6" x14ac:dyDescent="0.25">
      <c r="A469" s="843" t="s">
        <v>223</v>
      </c>
      <c r="B469" s="1043"/>
      <c r="C469" s="1043"/>
      <c r="D469" s="1044"/>
      <c r="E469" s="1044"/>
      <c r="F469" s="1044"/>
    </row>
    <row r="470" spans="1:6" x14ac:dyDescent="0.25">
      <c r="A470" s="843" t="s">
        <v>224</v>
      </c>
      <c r="B470" s="1043"/>
      <c r="C470" s="1043"/>
      <c r="D470" s="1044"/>
      <c r="E470" s="1044"/>
      <c r="F470" s="1044"/>
    </row>
    <row r="471" spans="1:6" ht="45" x14ac:dyDescent="0.25">
      <c r="A471" s="843" t="s">
        <v>498</v>
      </c>
      <c r="B471" s="1043">
        <v>41628</v>
      </c>
      <c r="C471" s="1043">
        <v>41658</v>
      </c>
      <c r="D471" s="1044">
        <v>5000000</v>
      </c>
      <c r="E471" s="1044">
        <v>5000000</v>
      </c>
      <c r="F471" s="1044">
        <v>0</v>
      </c>
    </row>
    <row r="472" spans="1:6" x14ac:dyDescent="0.25">
      <c r="A472" s="843" t="s">
        <v>231</v>
      </c>
      <c r="B472" s="1043"/>
      <c r="C472" s="1043"/>
      <c r="D472" s="1044"/>
      <c r="E472" s="1044"/>
      <c r="F472" s="1044"/>
    </row>
    <row r="473" spans="1:6" x14ac:dyDescent="0.25">
      <c r="A473" s="843" t="s">
        <v>1042</v>
      </c>
      <c r="B473" s="1043"/>
      <c r="C473" s="1043"/>
      <c r="D473" s="1044"/>
      <c r="E473" s="1044"/>
      <c r="F473" s="1044"/>
    </row>
    <row r="474" spans="1:6" ht="60" x14ac:dyDescent="0.25">
      <c r="A474" s="843" t="s">
        <v>499</v>
      </c>
      <c r="B474" s="1043">
        <v>41647</v>
      </c>
      <c r="C474" s="1043">
        <v>41797</v>
      </c>
      <c r="D474" s="1044">
        <v>70000000</v>
      </c>
      <c r="E474" s="1044">
        <v>69658711</v>
      </c>
      <c r="F474" s="1044">
        <v>341289</v>
      </c>
    </row>
    <row r="475" spans="1:6" x14ac:dyDescent="0.25">
      <c r="A475" s="843" t="s">
        <v>225</v>
      </c>
      <c r="B475" s="1043"/>
      <c r="C475" s="1043"/>
      <c r="D475" s="1044"/>
      <c r="E475" s="1044"/>
      <c r="F475" s="1044"/>
    </row>
    <row r="476" spans="1:6" x14ac:dyDescent="0.25">
      <c r="A476" s="843" t="s">
        <v>226</v>
      </c>
      <c r="B476" s="1043"/>
      <c r="C476" s="1043"/>
      <c r="D476" s="1044"/>
      <c r="E476" s="1044"/>
      <c r="F476" s="1044"/>
    </row>
    <row r="477" spans="1:6" ht="45" x14ac:dyDescent="0.25">
      <c r="A477" s="843" t="s">
        <v>498</v>
      </c>
      <c r="B477" s="1043">
        <v>41628</v>
      </c>
      <c r="C477" s="1043">
        <v>41658</v>
      </c>
      <c r="D477" s="1044">
        <v>5000000</v>
      </c>
      <c r="E477" s="1044">
        <v>5000000</v>
      </c>
      <c r="F477" s="1044">
        <v>0</v>
      </c>
    </row>
    <row r="478" spans="1:6" x14ac:dyDescent="0.25">
      <c r="A478" s="843" t="s">
        <v>221</v>
      </c>
      <c r="B478" s="1043"/>
      <c r="C478" s="1043"/>
      <c r="D478" s="1044"/>
      <c r="E478" s="1044"/>
      <c r="F478" s="1044"/>
    </row>
    <row r="479" spans="1:6" x14ac:dyDescent="0.25">
      <c r="A479" s="843" t="s">
        <v>222</v>
      </c>
      <c r="B479" s="1043">
        <v>41628</v>
      </c>
      <c r="C479" s="1043">
        <v>41658</v>
      </c>
      <c r="D479" s="1044">
        <v>5000000</v>
      </c>
      <c r="E479" s="1044">
        <v>5000000</v>
      </c>
      <c r="F479" s="1044">
        <v>0</v>
      </c>
    </row>
    <row r="480" spans="1:6" x14ac:dyDescent="0.25">
      <c r="A480" s="843" t="s">
        <v>242</v>
      </c>
      <c r="B480" s="1043"/>
      <c r="C480" s="1043"/>
      <c r="D480" s="1044"/>
      <c r="E480" s="1044"/>
      <c r="F480" s="1044"/>
    </row>
    <row r="481" spans="1:6" x14ac:dyDescent="0.25">
      <c r="A481" s="843" t="s">
        <v>235</v>
      </c>
      <c r="B481" s="1043"/>
      <c r="C481" s="1043"/>
      <c r="D481" s="1044"/>
      <c r="E481" s="1044"/>
      <c r="F481" s="1044"/>
    </row>
    <row r="482" spans="1:6" ht="45" x14ac:dyDescent="0.25">
      <c r="A482" s="843" t="s">
        <v>500</v>
      </c>
      <c r="B482" s="1043">
        <v>41662</v>
      </c>
      <c r="C482" s="1043">
        <v>41751</v>
      </c>
      <c r="D482" s="1044">
        <v>3017160</v>
      </c>
      <c r="E482" s="1044">
        <v>3017160</v>
      </c>
      <c r="F482" s="1044">
        <v>0</v>
      </c>
    </row>
    <row r="483" spans="1:6" x14ac:dyDescent="0.25">
      <c r="A483" s="1047" t="s">
        <v>240</v>
      </c>
      <c r="B483" s="1045"/>
      <c r="C483" s="1045"/>
      <c r="D483" s="1046"/>
      <c r="E483" s="1046"/>
      <c r="F483" s="1046"/>
    </row>
    <row r="484" spans="1:6" x14ac:dyDescent="0.25">
      <c r="A484" s="843" t="s">
        <v>290</v>
      </c>
      <c r="B484" s="1045"/>
      <c r="C484" s="1045"/>
      <c r="D484" s="1046"/>
      <c r="E484" s="1046"/>
      <c r="F484" s="1046"/>
    </row>
    <row r="485" spans="1:6" ht="30" x14ac:dyDescent="0.25">
      <c r="A485" s="843" t="s">
        <v>501</v>
      </c>
      <c r="B485" s="1045">
        <v>41655</v>
      </c>
      <c r="C485" s="1045">
        <v>42019</v>
      </c>
      <c r="D485" s="1046">
        <v>90000000</v>
      </c>
      <c r="E485" s="1046">
        <v>42574877.200000003</v>
      </c>
      <c r="F485" s="1046">
        <v>47425122.799999997</v>
      </c>
    </row>
    <row r="486" spans="1:6" x14ac:dyDescent="0.25">
      <c r="A486" s="843" t="s">
        <v>229</v>
      </c>
      <c r="B486" s="1043"/>
      <c r="C486" s="1043"/>
      <c r="D486" s="1044"/>
      <c r="E486" s="1044"/>
      <c r="F486" s="1044"/>
    </row>
    <row r="487" spans="1:6" x14ac:dyDescent="0.25">
      <c r="A487" s="843" t="s">
        <v>1043</v>
      </c>
      <c r="B487" s="1043"/>
      <c r="C487" s="1043"/>
      <c r="D487" s="1044"/>
      <c r="E487" s="1044"/>
      <c r="F487" s="1044"/>
    </row>
    <row r="488" spans="1:6" ht="45" x14ac:dyDescent="0.25">
      <c r="A488" s="843" t="s">
        <v>498</v>
      </c>
      <c r="B488" s="1043">
        <v>41634</v>
      </c>
      <c r="C488" s="1043">
        <v>41664</v>
      </c>
      <c r="D488" s="1044">
        <v>5000000</v>
      </c>
      <c r="E488" s="1044">
        <v>5000000</v>
      </c>
      <c r="F488" s="1044">
        <v>0</v>
      </c>
    </row>
    <row r="489" spans="1:6" x14ac:dyDescent="0.25">
      <c r="A489" s="843" t="s">
        <v>239</v>
      </c>
      <c r="B489" s="1043"/>
      <c r="C489" s="1043"/>
      <c r="D489" s="1044"/>
      <c r="E489" s="1044"/>
      <c r="F489" s="1044"/>
    </row>
    <row r="490" spans="1:6" x14ac:dyDescent="0.25">
      <c r="A490" s="843" t="s">
        <v>152</v>
      </c>
      <c r="B490" s="1043"/>
      <c r="C490" s="1043"/>
      <c r="D490" s="1044"/>
      <c r="E490" s="1044"/>
      <c r="F490" s="1044"/>
    </row>
    <row r="491" spans="1:6" ht="60" x14ac:dyDescent="0.25">
      <c r="A491" s="843" t="s">
        <v>502</v>
      </c>
      <c r="B491" s="1043">
        <v>41662</v>
      </c>
      <c r="C491" s="1043">
        <v>41754</v>
      </c>
      <c r="D491" s="1044">
        <v>3743343</v>
      </c>
      <c r="E491" s="1044">
        <v>3743343</v>
      </c>
      <c r="F491" s="1044">
        <v>0</v>
      </c>
    </row>
    <row r="492" spans="1:6" x14ac:dyDescent="0.25">
      <c r="A492" s="1047" t="s">
        <v>405</v>
      </c>
      <c r="B492" s="1045"/>
      <c r="C492" s="1045"/>
      <c r="D492" s="1046"/>
      <c r="E492" s="1046"/>
      <c r="F492" s="1046"/>
    </row>
    <row r="493" spans="1:6" x14ac:dyDescent="0.25">
      <c r="A493" s="843" t="s">
        <v>238</v>
      </c>
      <c r="B493" s="1045"/>
      <c r="C493" s="1045"/>
      <c r="D493" s="1046"/>
      <c r="E493" s="1046"/>
      <c r="F493" s="1046"/>
    </row>
    <row r="494" spans="1:6" ht="60" x14ac:dyDescent="0.25">
      <c r="A494" s="843" t="s">
        <v>503</v>
      </c>
      <c r="B494" s="1045">
        <v>41662</v>
      </c>
      <c r="C494" s="1045">
        <v>42026</v>
      </c>
      <c r="D494" s="1046">
        <v>1620000</v>
      </c>
      <c r="E494" s="1046">
        <v>354000</v>
      </c>
      <c r="F494" s="1046">
        <v>1266000</v>
      </c>
    </row>
    <row r="495" spans="1:6" x14ac:dyDescent="0.25">
      <c r="A495" s="843" t="s">
        <v>236</v>
      </c>
      <c r="B495" s="1043"/>
      <c r="C495" s="1043"/>
      <c r="D495" s="1044"/>
      <c r="E495" s="1044"/>
      <c r="F495" s="1044"/>
    </row>
    <row r="496" spans="1:6" x14ac:dyDescent="0.25">
      <c r="A496" s="843" t="s">
        <v>186</v>
      </c>
      <c r="B496" s="1043"/>
      <c r="C496" s="1043"/>
      <c r="D496" s="1044"/>
      <c r="E496" s="1044"/>
      <c r="F496" s="1044"/>
    </row>
    <row r="497" spans="1:6" ht="45" x14ac:dyDescent="0.25">
      <c r="A497" s="843" t="s">
        <v>504</v>
      </c>
      <c r="B497" s="1043">
        <v>41655</v>
      </c>
      <c r="C497" s="1043">
        <v>41713</v>
      </c>
      <c r="D497" s="1044">
        <v>32048480</v>
      </c>
      <c r="E497" s="1044">
        <v>32048480</v>
      </c>
      <c r="F497" s="1044">
        <v>0</v>
      </c>
    </row>
    <row r="498" spans="1:6" x14ac:dyDescent="0.25">
      <c r="A498" s="843" t="s">
        <v>241</v>
      </c>
      <c r="B498" s="1043"/>
      <c r="C498" s="1043"/>
      <c r="D498" s="1044"/>
      <c r="E498" s="1044"/>
      <c r="F498" s="1044"/>
    </row>
    <row r="499" spans="1:6" x14ac:dyDescent="0.25">
      <c r="A499" s="843" t="s">
        <v>1044</v>
      </c>
      <c r="B499" s="1043"/>
      <c r="C499" s="1043"/>
      <c r="D499" s="1044"/>
      <c r="E499" s="1044"/>
      <c r="F499" s="1044"/>
    </row>
    <row r="500" spans="1:6" ht="45" x14ac:dyDescent="0.25">
      <c r="A500" s="843" t="s">
        <v>505</v>
      </c>
      <c r="B500" s="1043">
        <v>41662</v>
      </c>
      <c r="C500" s="1043">
        <v>41720</v>
      </c>
      <c r="D500" s="1044">
        <v>3480000</v>
      </c>
      <c r="E500" s="1044">
        <v>3480000</v>
      </c>
      <c r="F500" s="1044">
        <v>0</v>
      </c>
    </row>
    <row r="501" spans="1:6" x14ac:dyDescent="0.25">
      <c r="A501" s="843" t="s">
        <v>237</v>
      </c>
      <c r="B501" s="1043"/>
      <c r="C501" s="1043"/>
      <c r="D501" s="1044"/>
      <c r="E501" s="1044"/>
      <c r="F501" s="1044"/>
    </row>
    <row r="502" spans="1:6" x14ac:dyDescent="0.25">
      <c r="A502" s="843" t="s">
        <v>186</v>
      </c>
      <c r="B502" s="1043"/>
      <c r="C502" s="1043"/>
      <c r="D502" s="1044"/>
      <c r="E502" s="1044"/>
      <c r="F502" s="1044"/>
    </row>
    <row r="503" spans="1:6" ht="60" x14ac:dyDescent="0.25">
      <c r="A503" s="843" t="s">
        <v>506</v>
      </c>
      <c r="B503" s="1043">
        <v>41662</v>
      </c>
      <c r="C503" s="1043">
        <v>41736</v>
      </c>
      <c r="D503" s="1044">
        <v>126308000</v>
      </c>
      <c r="E503" s="1044">
        <v>126308000</v>
      </c>
      <c r="F503" s="1044">
        <v>0</v>
      </c>
    </row>
    <row r="504" spans="1:6" x14ac:dyDescent="0.25">
      <c r="A504" s="843" t="s">
        <v>230</v>
      </c>
      <c r="B504" s="1043"/>
      <c r="C504" s="1043"/>
      <c r="D504" s="1044"/>
      <c r="E504" s="1044"/>
      <c r="F504" s="1044"/>
    </row>
    <row r="505" spans="1:6" x14ac:dyDescent="0.25">
      <c r="A505" s="843" t="s">
        <v>1045</v>
      </c>
      <c r="B505" s="1043"/>
      <c r="C505" s="1043"/>
      <c r="D505" s="1044"/>
      <c r="E505" s="1044"/>
      <c r="F505" s="1044"/>
    </row>
    <row r="506" spans="1:6" ht="45" x14ac:dyDescent="0.25">
      <c r="A506" s="843" t="s">
        <v>507</v>
      </c>
      <c r="B506" s="1043">
        <v>41638</v>
      </c>
      <c r="C506" s="1043">
        <v>41668</v>
      </c>
      <c r="D506" s="1044">
        <v>3500000</v>
      </c>
      <c r="E506" s="1044">
        <v>3500000</v>
      </c>
      <c r="F506" s="1044">
        <v>0</v>
      </c>
    </row>
    <row r="507" spans="1:6" x14ac:dyDescent="0.25">
      <c r="A507" s="843" t="s">
        <v>243</v>
      </c>
      <c r="B507" s="1043"/>
      <c r="C507" s="1043"/>
      <c r="D507" s="1044"/>
      <c r="E507" s="1044"/>
      <c r="F507" s="1044"/>
    </row>
    <row r="508" spans="1:6" x14ac:dyDescent="0.25">
      <c r="A508" s="843" t="s">
        <v>244</v>
      </c>
      <c r="B508" s="1043"/>
      <c r="C508" s="1043"/>
      <c r="D508" s="1044"/>
      <c r="E508" s="1044"/>
      <c r="F508" s="1044"/>
    </row>
    <row r="509" spans="1:6" ht="75" x14ac:dyDescent="0.25">
      <c r="A509" s="843" t="s">
        <v>508</v>
      </c>
      <c r="B509" s="1043">
        <v>41670</v>
      </c>
      <c r="C509" s="1043">
        <v>41789</v>
      </c>
      <c r="D509" s="1044">
        <v>803432165</v>
      </c>
      <c r="E509" s="1044">
        <v>741115935</v>
      </c>
      <c r="F509" s="1044">
        <v>62316230</v>
      </c>
    </row>
    <row r="510" spans="1:6" x14ac:dyDescent="0.25">
      <c r="A510" s="1047" t="s">
        <v>278</v>
      </c>
      <c r="B510" s="1045"/>
      <c r="C510" s="1045"/>
      <c r="D510" s="1046"/>
      <c r="E510" s="1046"/>
      <c r="F510" s="1046"/>
    </row>
    <row r="511" spans="1:6" x14ac:dyDescent="0.25">
      <c r="A511" s="843" t="s">
        <v>15</v>
      </c>
      <c r="B511" s="1045"/>
      <c r="C511" s="1045"/>
      <c r="D511" s="1046"/>
      <c r="E511" s="1046"/>
      <c r="F511" s="1046"/>
    </row>
    <row r="512" spans="1:6" ht="30" x14ac:dyDescent="0.25">
      <c r="A512" s="843" t="s">
        <v>509</v>
      </c>
      <c r="B512" s="1045">
        <v>41775</v>
      </c>
      <c r="C512" s="1045">
        <v>42139</v>
      </c>
      <c r="D512" s="1046">
        <v>7740000</v>
      </c>
      <c r="E512" s="1046">
        <v>7740000</v>
      </c>
      <c r="F512" s="1046">
        <v>0</v>
      </c>
    </row>
    <row r="513" spans="1:6" x14ac:dyDescent="0.25">
      <c r="A513" s="1047" t="s">
        <v>171</v>
      </c>
      <c r="B513" s="1045"/>
      <c r="C513" s="1045"/>
      <c r="D513" s="1046"/>
      <c r="E513" s="1046"/>
      <c r="F513" s="1046"/>
    </row>
    <row r="514" spans="1:6" x14ac:dyDescent="0.25">
      <c r="A514" s="843" t="s">
        <v>1034</v>
      </c>
      <c r="B514" s="1045"/>
      <c r="C514" s="1045"/>
      <c r="D514" s="1046"/>
      <c r="E514" s="1046"/>
      <c r="F514" s="1046"/>
    </row>
    <row r="515" spans="1:6" ht="45" x14ac:dyDescent="0.25">
      <c r="A515" s="843" t="s">
        <v>510</v>
      </c>
      <c r="B515" s="1045">
        <v>41675</v>
      </c>
      <c r="C515" s="1045">
        <v>42008</v>
      </c>
      <c r="D515" s="1046">
        <v>29819999</v>
      </c>
      <c r="E515" s="1046">
        <v>29819999</v>
      </c>
      <c r="F515" s="1046">
        <v>0</v>
      </c>
    </row>
    <row r="516" spans="1:6" x14ac:dyDescent="0.25">
      <c r="A516" s="1047" t="s">
        <v>252</v>
      </c>
      <c r="B516" s="1045"/>
      <c r="C516" s="1045"/>
      <c r="D516" s="1046"/>
      <c r="E516" s="1046"/>
      <c r="F516" s="1046"/>
    </row>
    <row r="517" spans="1:6" x14ac:dyDescent="0.25">
      <c r="A517" s="843" t="s">
        <v>86</v>
      </c>
      <c r="B517" s="1045"/>
      <c r="C517" s="1045"/>
      <c r="D517" s="1046"/>
      <c r="E517" s="1046"/>
      <c r="F517" s="1046"/>
    </row>
    <row r="518" spans="1:6" ht="30" x14ac:dyDescent="0.25">
      <c r="A518" s="843" t="s">
        <v>511</v>
      </c>
      <c r="B518" s="1045">
        <v>41717</v>
      </c>
      <c r="C518" s="1045">
        <v>42081</v>
      </c>
      <c r="D518" s="1046">
        <v>1197000</v>
      </c>
      <c r="E518" s="1046">
        <v>1197000</v>
      </c>
      <c r="F518" s="1046">
        <v>0</v>
      </c>
    </row>
    <row r="519" spans="1:6" x14ac:dyDescent="0.25">
      <c r="A519" s="843" t="s">
        <v>270</v>
      </c>
      <c r="B519" s="1043"/>
      <c r="C519" s="1043"/>
      <c r="D519" s="1044"/>
      <c r="E519" s="1044"/>
      <c r="F519" s="1044"/>
    </row>
    <row r="520" spans="1:6" x14ac:dyDescent="0.25">
      <c r="A520" s="843" t="s">
        <v>1031</v>
      </c>
      <c r="B520" s="1043"/>
      <c r="C520" s="1043"/>
      <c r="D520" s="1044"/>
      <c r="E520" s="1044"/>
      <c r="F520" s="1044"/>
    </row>
    <row r="521" spans="1:6" ht="30" x14ac:dyDescent="0.25">
      <c r="A521" s="843" t="s">
        <v>512</v>
      </c>
      <c r="B521" s="1043">
        <v>41739</v>
      </c>
      <c r="C521" s="1043">
        <v>41891</v>
      </c>
      <c r="D521" s="1044">
        <v>4000000</v>
      </c>
      <c r="E521" s="1044">
        <v>4000000</v>
      </c>
      <c r="F521" s="1044">
        <v>0</v>
      </c>
    </row>
    <row r="522" spans="1:6" x14ac:dyDescent="0.25">
      <c r="A522" s="1047" t="s">
        <v>254</v>
      </c>
      <c r="B522" s="1045"/>
      <c r="C522" s="1045"/>
      <c r="D522" s="1046"/>
      <c r="E522" s="1046"/>
      <c r="F522" s="1046"/>
    </row>
    <row r="523" spans="1:6" x14ac:dyDescent="0.25">
      <c r="A523" s="843" t="s">
        <v>1033</v>
      </c>
      <c r="B523" s="1045"/>
      <c r="C523" s="1045"/>
      <c r="D523" s="1046"/>
      <c r="E523" s="1046"/>
      <c r="F523" s="1046"/>
    </row>
    <row r="524" spans="1:6" ht="60" x14ac:dyDescent="0.25">
      <c r="A524" s="843" t="s">
        <v>513</v>
      </c>
      <c r="B524" s="1045">
        <v>41701</v>
      </c>
      <c r="C524" s="1045">
        <v>42006</v>
      </c>
      <c r="D524" s="1046">
        <v>42800000</v>
      </c>
      <c r="E524" s="1046">
        <v>42800000</v>
      </c>
      <c r="F524" s="1046">
        <v>0</v>
      </c>
    </row>
    <row r="525" spans="1:6" x14ac:dyDescent="0.25">
      <c r="A525" s="1047" t="s">
        <v>267</v>
      </c>
      <c r="B525" s="1045"/>
      <c r="C525" s="1045"/>
      <c r="D525" s="1046"/>
      <c r="E525" s="1046"/>
      <c r="F525" s="1046"/>
    </row>
    <row r="526" spans="1:6" x14ac:dyDescent="0.25">
      <c r="A526" s="843" t="s">
        <v>1516</v>
      </c>
      <c r="B526" s="1043"/>
      <c r="C526" s="1043"/>
      <c r="D526" s="1044"/>
      <c r="E526" s="1044"/>
      <c r="F526" s="1044"/>
    </row>
    <row r="527" spans="1:6" ht="45" x14ac:dyDescent="0.25">
      <c r="A527" s="843" t="s">
        <v>514</v>
      </c>
      <c r="B527" s="1043">
        <v>41708</v>
      </c>
      <c r="C527" s="1043">
        <v>42013</v>
      </c>
      <c r="D527" s="1044">
        <v>38830000</v>
      </c>
      <c r="E527" s="1044">
        <v>38830000</v>
      </c>
      <c r="F527" s="1044">
        <v>0</v>
      </c>
    </row>
    <row r="528" spans="1:6" x14ac:dyDescent="0.25">
      <c r="A528" s="1047" t="s">
        <v>257</v>
      </c>
      <c r="B528" s="1045"/>
      <c r="C528" s="1045"/>
      <c r="D528" s="1046"/>
      <c r="E528" s="1046"/>
      <c r="F528" s="1046"/>
    </row>
    <row r="529" spans="1:6" x14ac:dyDescent="0.25">
      <c r="A529" s="843" t="s">
        <v>1035</v>
      </c>
      <c r="B529" s="1045"/>
      <c r="C529" s="1045"/>
      <c r="D529" s="1046"/>
      <c r="E529" s="1046"/>
      <c r="F529" s="1046"/>
    </row>
    <row r="530" spans="1:6" ht="75" x14ac:dyDescent="0.25">
      <c r="A530" s="843" t="s">
        <v>515</v>
      </c>
      <c r="B530" s="1045">
        <v>41675</v>
      </c>
      <c r="C530" s="1045">
        <v>42008</v>
      </c>
      <c r="D530" s="1046">
        <v>40997000</v>
      </c>
      <c r="E530" s="1046">
        <v>40997000</v>
      </c>
      <c r="F530" s="1046">
        <v>0</v>
      </c>
    </row>
    <row r="531" spans="1:6" x14ac:dyDescent="0.25">
      <c r="A531" s="1047" t="s">
        <v>245</v>
      </c>
      <c r="B531" s="1045"/>
      <c r="C531" s="1045"/>
      <c r="D531" s="1046"/>
      <c r="E531" s="1046"/>
      <c r="F531" s="1046"/>
    </row>
    <row r="532" spans="1:6" x14ac:dyDescent="0.25">
      <c r="A532" s="843" t="s">
        <v>226</v>
      </c>
      <c r="B532" s="1045"/>
      <c r="C532" s="1045"/>
      <c r="D532" s="1046"/>
      <c r="E532" s="1046"/>
      <c r="F532" s="1046"/>
    </row>
    <row r="533" spans="1:6" ht="60" x14ac:dyDescent="0.25">
      <c r="A533" s="843" t="s">
        <v>516</v>
      </c>
      <c r="B533" s="1045">
        <v>41675</v>
      </c>
      <c r="C533" s="1045">
        <v>42008</v>
      </c>
      <c r="D533" s="1046">
        <v>55000000</v>
      </c>
      <c r="E533" s="1046">
        <v>54333333</v>
      </c>
      <c r="F533" s="1046">
        <v>666667</v>
      </c>
    </row>
    <row r="534" spans="1:6" x14ac:dyDescent="0.25">
      <c r="A534" s="1047" t="s">
        <v>247</v>
      </c>
      <c r="B534" s="1045"/>
      <c r="C534" s="1045"/>
      <c r="D534" s="1046"/>
      <c r="E534" s="1046"/>
      <c r="F534" s="1046"/>
    </row>
    <row r="535" spans="1:6" ht="30" x14ac:dyDescent="0.25">
      <c r="A535" s="843" t="s">
        <v>1515</v>
      </c>
      <c r="B535" s="1043"/>
      <c r="C535" s="1043"/>
      <c r="D535" s="1044"/>
      <c r="E535" s="1044"/>
      <c r="F535" s="1044"/>
    </row>
    <row r="536" spans="1:6" ht="60" x14ac:dyDescent="0.25">
      <c r="A536" s="843" t="s">
        <v>516</v>
      </c>
      <c r="B536" s="1043">
        <v>41675</v>
      </c>
      <c r="C536" s="1043">
        <v>42008</v>
      </c>
      <c r="D536" s="1044">
        <v>55000000</v>
      </c>
      <c r="E536" s="1044">
        <v>54666666</v>
      </c>
      <c r="F536" s="1044">
        <v>333334</v>
      </c>
    </row>
    <row r="537" spans="1:6" x14ac:dyDescent="0.25">
      <c r="A537" s="1047" t="s">
        <v>249</v>
      </c>
      <c r="B537" s="1045"/>
      <c r="C537" s="1045"/>
      <c r="D537" s="1046"/>
      <c r="E537" s="1046"/>
      <c r="F537" s="1046"/>
    </row>
    <row r="538" spans="1:6" x14ac:dyDescent="0.25">
      <c r="A538" s="843" t="s">
        <v>1045</v>
      </c>
      <c r="B538" s="1045"/>
      <c r="C538" s="1045"/>
      <c r="D538" s="1046"/>
      <c r="E538" s="1046"/>
      <c r="F538" s="1046"/>
    </row>
    <row r="539" spans="1:6" ht="60" x14ac:dyDescent="0.25">
      <c r="A539" s="843" t="s">
        <v>2206</v>
      </c>
      <c r="B539" s="1043">
        <v>41675</v>
      </c>
      <c r="C539" s="1043">
        <v>42008</v>
      </c>
      <c r="D539" s="1044">
        <v>38500000</v>
      </c>
      <c r="E539" s="1044">
        <v>38500000</v>
      </c>
      <c r="F539" s="1044">
        <v>0</v>
      </c>
    </row>
    <row r="540" spans="1:6" x14ac:dyDescent="0.25">
      <c r="A540" s="1047" t="s">
        <v>246</v>
      </c>
      <c r="B540" s="1045"/>
      <c r="C540" s="1045"/>
      <c r="D540" s="1046"/>
      <c r="E540" s="1046"/>
      <c r="F540" s="1046"/>
    </row>
    <row r="541" spans="1:6" x14ac:dyDescent="0.25">
      <c r="A541" s="843" t="s">
        <v>228</v>
      </c>
      <c r="B541" s="1045"/>
      <c r="C541" s="1045"/>
      <c r="D541" s="1046"/>
      <c r="E541" s="1046"/>
      <c r="F541" s="1046"/>
    </row>
    <row r="542" spans="1:6" ht="45" x14ac:dyDescent="0.25">
      <c r="A542" s="843" t="s">
        <v>1622</v>
      </c>
      <c r="B542" s="1043">
        <v>41675</v>
      </c>
      <c r="C542" s="1043">
        <v>42008</v>
      </c>
      <c r="D542" s="1044">
        <v>55000000</v>
      </c>
      <c r="E542" s="1044">
        <v>55000000</v>
      </c>
      <c r="F542" s="1044">
        <v>0</v>
      </c>
    </row>
    <row r="543" spans="1:6" x14ac:dyDescent="0.25">
      <c r="A543" s="1047" t="s">
        <v>248</v>
      </c>
      <c r="B543" s="1045"/>
      <c r="C543" s="1045"/>
      <c r="D543" s="1046"/>
      <c r="E543" s="1046"/>
      <c r="F543" s="1046"/>
    </row>
    <row r="544" spans="1:6" x14ac:dyDescent="0.25">
      <c r="A544" s="843" t="s">
        <v>224</v>
      </c>
      <c r="B544" s="1045"/>
      <c r="C544" s="1045"/>
      <c r="D544" s="1046"/>
      <c r="E544" s="1046"/>
      <c r="F544" s="1046"/>
    </row>
    <row r="545" spans="1:6" ht="60" x14ac:dyDescent="0.25">
      <c r="A545" s="843" t="s">
        <v>516</v>
      </c>
      <c r="B545" s="1045">
        <v>41675</v>
      </c>
      <c r="C545" s="1045">
        <v>42008</v>
      </c>
      <c r="D545" s="1046">
        <v>55000000</v>
      </c>
      <c r="E545" s="1046">
        <v>55000000</v>
      </c>
      <c r="F545" s="1046">
        <v>0</v>
      </c>
    </row>
    <row r="546" spans="1:6" x14ac:dyDescent="0.25">
      <c r="A546" s="1047" t="s">
        <v>268</v>
      </c>
      <c r="B546" s="1045"/>
      <c r="C546" s="1045"/>
      <c r="D546" s="1046"/>
      <c r="E546" s="1046"/>
      <c r="F546" s="1046"/>
    </row>
    <row r="547" spans="1:6" x14ac:dyDescent="0.25">
      <c r="A547" s="843" t="s">
        <v>269</v>
      </c>
      <c r="B547" s="1045"/>
      <c r="C547" s="1045"/>
      <c r="D547" s="1046"/>
      <c r="E547" s="1046"/>
      <c r="F547" s="1046"/>
    </row>
    <row r="548" spans="1:6" ht="45" x14ac:dyDescent="0.25">
      <c r="A548" s="843" t="s">
        <v>369</v>
      </c>
      <c r="B548" s="1045">
        <v>41732</v>
      </c>
      <c r="C548" s="1045">
        <v>42096</v>
      </c>
      <c r="D548" s="1046">
        <v>16555000</v>
      </c>
      <c r="E548" s="1046">
        <v>15762669</v>
      </c>
      <c r="F548" s="1046">
        <v>792331</v>
      </c>
    </row>
    <row r="549" spans="1:6" x14ac:dyDescent="0.25">
      <c r="A549" s="1047" t="s">
        <v>253</v>
      </c>
      <c r="B549" s="1045"/>
      <c r="C549" s="1045"/>
      <c r="D549" s="1046"/>
      <c r="E549" s="1046"/>
      <c r="F549" s="1046"/>
    </row>
    <row r="550" spans="1:6" x14ac:dyDescent="0.25">
      <c r="A550" s="843" t="s">
        <v>140</v>
      </c>
      <c r="B550" s="1045"/>
      <c r="C550" s="1045"/>
      <c r="D550" s="1046"/>
      <c r="E550" s="1046"/>
      <c r="F550" s="1046"/>
    </row>
    <row r="551" spans="1:6" ht="45" x14ac:dyDescent="0.25">
      <c r="A551" s="843" t="s">
        <v>1133</v>
      </c>
      <c r="B551" s="1043">
        <v>41675</v>
      </c>
      <c r="C551" s="1043">
        <v>42008</v>
      </c>
      <c r="D551" s="1044">
        <v>39600000</v>
      </c>
      <c r="E551" s="1044">
        <v>24720000</v>
      </c>
      <c r="F551" s="1044">
        <v>14880000</v>
      </c>
    </row>
    <row r="552" spans="1:6" x14ac:dyDescent="0.25">
      <c r="A552" s="1047" t="s">
        <v>255</v>
      </c>
      <c r="B552" s="1045"/>
      <c r="C552" s="1045"/>
      <c r="D552" s="1046"/>
      <c r="E552" s="1046"/>
      <c r="F552" s="1046"/>
    </row>
    <row r="553" spans="1:6" x14ac:dyDescent="0.25">
      <c r="A553" s="843" t="s">
        <v>1032</v>
      </c>
      <c r="B553" s="1045"/>
      <c r="C553" s="1045"/>
      <c r="D553" s="1046"/>
      <c r="E553" s="1046"/>
      <c r="F553" s="1046"/>
    </row>
    <row r="554" spans="1:6" ht="75" x14ac:dyDescent="0.25">
      <c r="A554" s="843" t="s">
        <v>517</v>
      </c>
      <c r="B554" s="1045">
        <v>41694</v>
      </c>
      <c r="C554" s="1045">
        <v>41887</v>
      </c>
      <c r="D554" s="1046">
        <v>51500000</v>
      </c>
      <c r="E554" s="1046">
        <v>32788333</v>
      </c>
      <c r="F554" s="1046">
        <v>18711667</v>
      </c>
    </row>
    <row r="555" spans="1:6" x14ac:dyDescent="0.25">
      <c r="A555" s="1047" t="s">
        <v>250</v>
      </c>
      <c r="B555" s="1045"/>
      <c r="C555" s="1045"/>
      <c r="D555" s="1046"/>
      <c r="E555" s="1046"/>
      <c r="F555" s="1046"/>
    </row>
    <row r="556" spans="1:6" x14ac:dyDescent="0.25">
      <c r="A556" s="843" t="s">
        <v>251</v>
      </c>
      <c r="B556" s="1045"/>
      <c r="C556" s="1045"/>
      <c r="D556" s="1046"/>
      <c r="E556" s="1046"/>
      <c r="F556" s="1046"/>
    </row>
    <row r="557" spans="1:6" ht="45" x14ac:dyDescent="0.25">
      <c r="A557" s="843" t="s">
        <v>518</v>
      </c>
      <c r="B557" s="1045">
        <v>41675</v>
      </c>
      <c r="C557" s="1045">
        <v>42008</v>
      </c>
      <c r="D557" s="1046">
        <v>16500000</v>
      </c>
      <c r="E557" s="1046">
        <v>10300000</v>
      </c>
      <c r="F557" s="1046">
        <v>6200000</v>
      </c>
    </row>
    <row r="558" spans="1:6" x14ac:dyDescent="0.25">
      <c r="A558" s="1047" t="s">
        <v>256</v>
      </c>
      <c r="B558" s="1045"/>
      <c r="C558" s="1045"/>
      <c r="D558" s="1046"/>
      <c r="E558" s="1046"/>
      <c r="F558" s="1046"/>
    </row>
    <row r="559" spans="1:6" ht="30" x14ac:dyDescent="0.25">
      <c r="A559" s="843" t="s">
        <v>1395</v>
      </c>
      <c r="B559" s="1043"/>
      <c r="C559" s="1043"/>
      <c r="D559" s="1044"/>
      <c r="E559" s="1044"/>
      <c r="F559" s="1044"/>
    </row>
    <row r="560" spans="1:6" ht="75" x14ac:dyDescent="0.25">
      <c r="A560" s="843" t="s">
        <v>519</v>
      </c>
      <c r="B560" s="1043">
        <v>41677</v>
      </c>
      <c r="C560" s="1043">
        <v>42006</v>
      </c>
      <c r="D560" s="1044">
        <v>61800000</v>
      </c>
      <c r="E560" s="1044">
        <v>54933333</v>
      </c>
      <c r="F560" s="1044">
        <v>6866667</v>
      </c>
    </row>
    <row r="561" spans="1:6" x14ac:dyDescent="0.25">
      <c r="A561" s="843" t="s">
        <v>264</v>
      </c>
      <c r="B561" s="1043"/>
      <c r="C561" s="1043"/>
      <c r="D561" s="1044"/>
      <c r="E561" s="1044"/>
      <c r="F561" s="1044"/>
    </row>
    <row r="562" spans="1:6" x14ac:dyDescent="0.25">
      <c r="A562" s="843" t="s">
        <v>186</v>
      </c>
      <c r="B562" s="1043"/>
      <c r="C562" s="1043"/>
      <c r="D562" s="1044"/>
      <c r="E562" s="1044"/>
      <c r="F562" s="1044"/>
    </row>
    <row r="563" spans="1:6" ht="60" x14ac:dyDescent="0.25">
      <c r="A563" s="843" t="s">
        <v>520</v>
      </c>
      <c r="B563" s="1043">
        <v>41704</v>
      </c>
      <c r="C563" s="1043">
        <v>41748</v>
      </c>
      <c r="D563" s="1044">
        <v>340808000</v>
      </c>
      <c r="E563" s="1044">
        <v>340808000</v>
      </c>
      <c r="F563" s="1044">
        <v>0</v>
      </c>
    </row>
    <row r="564" spans="1:6" x14ac:dyDescent="0.25">
      <c r="A564" s="843" t="s">
        <v>262</v>
      </c>
      <c r="B564" s="1043"/>
      <c r="C564" s="1043"/>
      <c r="D564" s="1044"/>
      <c r="E564" s="1044"/>
      <c r="F564" s="1044"/>
    </row>
    <row r="565" spans="1:6" x14ac:dyDescent="0.25">
      <c r="A565" s="843" t="s">
        <v>263</v>
      </c>
      <c r="B565" s="1043"/>
      <c r="C565" s="1043"/>
      <c r="D565" s="1044"/>
      <c r="E565" s="1044"/>
      <c r="F565" s="1044"/>
    </row>
    <row r="566" spans="1:6" ht="60" x14ac:dyDescent="0.25">
      <c r="A566" s="843" t="s">
        <v>521</v>
      </c>
      <c r="B566" s="1043">
        <v>41704</v>
      </c>
      <c r="C566" s="1043">
        <v>41748</v>
      </c>
      <c r="D566" s="1044">
        <v>28900000</v>
      </c>
      <c r="E566" s="1044">
        <v>28900000</v>
      </c>
      <c r="F566" s="1044">
        <v>0</v>
      </c>
    </row>
    <row r="567" spans="1:6" x14ac:dyDescent="0.25">
      <c r="A567" s="843" t="s">
        <v>260</v>
      </c>
      <c r="B567" s="1043"/>
      <c r="C567" s="1043"/>
      <c r="D567" s="1044"/>
      <c r="E567" s="1044"/>
      <c r="F567" s="1044"/>
    </row>
    <row r="568" spans="1:6" x14ac:dyDescent="0.25">
      <c r="A568" s="843" t="s">
        <v>261</v>
      </c>
      <c r="B568" s="1043"/>
      <c r="C568" s="1043"/>
      <c r="D568" s="1044"/>
      <c r="E568" s="1044"/>
      <c r="F568" s="1044"/>
    </row>
    <row r="569" spans="1:6" ht="30" x14ac:dyDescent="0.25">
      <c r="A569" s="843" t="s">
        <v>522</v>
      </c>
      <c r="B569" s="1043">
        <v>41708</v>
      </c>
      <c r="C569" s="1043">
        <v>41738</v>
      </c>
      <c r="D569" s="1044">
        <v>325128875</v>
      </c>
      <c r="E569" s="1044">
        <v>325028452</v>
      </c>
      <c r="F569" s="1044">
        <v>100423</v>
      </c>
    </row>
    <row r="570" spans="1:6" x14ac:dyDescent="0.25">
      <c r="A570" s="1047" t="s">
        <v>273</v>
      </c>
      <c r="B570" s="1045"/>
      <c r="C570" s="1045"/>
      <c r="D570" s="1046"/>
      <c r="E570" s="1046"/>
      <c r="F570" s="1046"/>
    </row>
    <row r="571" spans="1:6" x14ac:dyDescent="0.25">
      <c r="A571" s="843" t="s">
        <v>126</v>
      </c>
      <c r="B571" s="1045"/>
      <c r="C571" s="1045"/>
      <c r="D571" s="1046"/>
      <c r="E571" s="1046"/>
      <c r="F571" s="1046"/>
    </row>
    <row r="572" spans="1:6" ht="60" x14ac:dyDescent="0.25">
      <c r="A572" s="843" t="s">
        <v>523</v>
      </c>
      <c r="B572" s="1045">
        <v>41738</v>
      </c>
      <c r="C572" s="1045">
        <v>42012</v>
      </c>
      <c r="D572" s="1046">
        <v>11000000</v>
      </c>
      <c r="E572" s="1046">
        <v>2672466</v>
      </c>
      <c r="F572" s="1046">
        <v>8327534</v>
      </c>
    </row>
    <row r="573" spans="1:6" x14ac:dyDescent="0.25">
      <c r="A573" s="1047" t="s">
        <v>288</v>
      </c>
      <c r="B573" s="1045"/>
      <c r="C573" s="1045"/>
      <c r="D573" s="1046"/>
      <c r="E573" s="1046"/>
      <c r="F573" s="1046"/>
    </row>
    <row r="574" spans="1:6" x14ac:dyDescent="0.25">
      <c r="A574" s="843" t="s">
        <v>12</v>
      </c>
      <c r="B574" s="1045"/>
      <c r="C574" s="1045"/>
      <c r="D574" s="1046"/>
      <c r="E574" s="1046"/>
      <c r="F574" s="1046"/>
    </row>
    <row r="575" spans="1:6" ht="45" x14ac:dyDescent="0.25">
      <c r="A575" s="843" t="s">
        <v>524</v>
      </c>
      <c r="B575" s="1045">
        <v>41738</v>
      </c>
      <c r="C575" s="1045">
        <v>42102</v>
      </c>
      <c r="D575" s="1046">
        <v>1607400</v>
      </c>
      <c r="E575" s="1046">
        <v>0</v>
      </c>
      <c r="F575" s="1046">
        <v>1607400</v>
      </c>
    </row>
    <row r="576" spans="1:6" x14ac:dyDescent="0.25">
      <c r="A576" s="1047" t="s">
        <v>266</v>
      </c>
      <c r="B576" s="1045"/>
      <c r="C576" s="1045"/>
      <c r="D576" s="1046"/>
      <c r="E576" s="1046"/>
      <c r="F576" s="1046"/>
    </row>
    <row r="577" spans="1:6" x14ac:dyDescent="0.25">
      <c r="A577" s="843" t="s">
        <v>1030</v>
      </c>
      <c r="B577" s="1045"/>
      <c r="C577" s="1045"/>
      <c r="D577" s="1046"/>
      <c r="E577" s="1046"/>
      <c r="F577" s="1046"/>
    </row>
    <row r="578" spans="1:6" ht="75" x14ac:dyDescent="0.25">
      <c r="A578" s="843" t="s">
        <v>368</v>
      </c>
      <c r="B578" s="1045">
        <v>41725</v>
      </c>
      <c r="C578" s="1045">
        <v>41969</v>
      </c>
      <c r="D578" s="1046">
        <v>4982000</v>
      </c>
      <c r="E578" s="1046">
        <v>2832000</v>
      </c>
      <c r="F578" s="1046">
        <v>2150000</v>
      </c>
    </row>
    <row r="579" spans="1:6" x14ac:dyDescent="0.25">
      <c r="A579" s="1047" t="s">
        <v>271</v>
      </c>
      <c r="B579" s="1045"/>
      <c r="C579" s="1045"/>
      <c r="D579" s="1046"/>
      <c r="E579" s="1046"/>
      <c r="F579" s="1046"/>
    </row>
    <row r="580" spans="1:6" x14ac:dyDescent="0.25">
      <c r="A580" s="843" t="s">
        <v>272</v>
      </c>
      <c r="B580" s="1045"/>
      <c r="C580" s="1045"/>
      <c r="D580" s="1046"/>
      <c r="E580" s="1046"/>
      <c r="F580" s="1046"/>
    </row>
    <row r="581" spans="1:6" ht="60" x14ac:dyDescent="0.25">
      <c r="A581" s="843" t="s">
        <v>525</v>
      </c>
      <c r="B581" s="1045">
        <v>41738</v>
      </c>
      <c r="C581" s="1045">
        <v>41951</v>
      </c>
      <c r="D581" s="1046">
        <v>28000000</v>
      </c>
      <c r="E581" s="1046">
        <v>10978240</v>
      </c>
      <c r="F581" s="1046">
        <v>17021760</v>
      </c>
    </row>
    <row r="582" spans="1:6" x14ac:dyDescent="0.25">
      <c r="A582" s="1047" t="s">
        <v>400</v>
      </c>
      <c r="B582" s="1045"/>
      <c r="C582" s="1045"/>
      <c r="D582" s="1046"/>
      <c r="E582" s="1046"/>
      <c r="F582" s="1046"/>
    </row>
    <row r="583" spans="1:6" x14ac:dyDescent="0.25">
      <c r="A583" s="843" t="s">
        <v>198</v>
      </c>
      <c r="B583" s="1045"/>
      <c r="C583" s="1045"/>
      <c r="D583" s="1046"/>
      <c r="E583" s="1046"/>
      <c r="F583" s="1046"/>
    </row>
    <row r="584" spans="1:6" ht="60" x14ac:dyDescent="0.25">
      <c r="A584" s="843" t="s">
        <v>1144</v>
      </c>
      <c r="B584" s="1043">
        <v>41793</v>
      </c>
      <c r="C584" s="1043">
        <v>42096</v>
      </c>
      <c r="D584" s="1044">
        <v>10564000</v>
      </c>
      <c r="E584" s="1044">
        <v>10055157</v>
      </c>
      <c r="F584" s="1044">
        <v>508843</v>
      </c>
    </row>
    <row r="585" spans="1:6" x14ac:dyDescent="0.25">
      <c r="A585" s="1047" t="s">
        <v>274</v>
      </c>
      <c r="B585" s="1045"/>
      <c r="C585" s="1045"/>
      <c r="D585" s="1046"/>
      <c r="E585" s="1046"/>
      <c r="F585" s="1046"/>
    </row>
    <row r="586" spans="1:6" x14ac:dyDescent="0.25">
      <c r="A586" s="843" t="s">
        <v>275</v>
      </c>
      <c r="B586" s="1045"/>
      <c r="C586" s="1045"/>
      <c r="D586" s="1046"/>
      <c r="E586" s="1046"/>
      <c r="F586" s="1046"/>
    </row>
    <row r="587" spans="1:6" ht="60" x14ac:dyDescent="0.25">
      <c r="A587" s="843" t="s">
        <v>1450</v>
      </c>
      <c r="B587" s="1043">
        <v>41752</v>
      </c>
      <c r="C587" s="1043">
        <v>42116</v>
      </c>
      <c r="D587" s="1044">
        <v>2122000</v>
      </c>
      <c r="E587" s="1044">
        <v>2122000</v>
      </c>
      <c r="F587" s="1044">
        <v>0</v>
      </c>
    </row>
    <row r="588" spans="1:6" x14ac:dyDescent="0.25">
      <c r="A588" s="1047" t="s">
        <v>279</v>
      </c>
      <c r="B588" s="1045"/>
      <c r="C588" s="1045"/>
      <c r="D588" s="1046"/>
      <c r="E588" s="1046"/>
      <c r="F588" s="1046"/>
    </row>
    <row r="589" spans="1:6" x14ac:dyDescent="0.25">
      <c r="A589" s="843" t="s">
        <v>53</v>
      </c>
      <c r="B589" s="1045"/>
      <c r="C589" s="1045"/>
      <c r="D589" s="1046"/>
      <c r="E589" s="1046"/>
      <c r="F589" s="1046"/>
    </row>
    <row r="590" spans="1:6" ht="60" x14ac:dyDescent="0.25">
      <c r="A590" s="843" t="s">
        <v>1771</v>
      </c>
      <c r="B590" s="1043">
        <v>41757</v>
      </c>
      <c r="C590" s="1043">
        <v>42091</v>
      </c>
      <c r="D590" s="1044">
        <v>31218000</v>
      </c>
      <c r="E590" s="1044">
        <v>29571427</v>
      </c>
      <c r="F590" s="1044">
        <v>1646573</v>
      </c>
    </row>
    <row r="591" spans="1:6" x14ac:dyDescent="0.25">
      <c r="A591" s="843" t="s">
        <v>282</v>
      </c>
      <c r="B591" s="1043"/>
      <c r="C591" s="1043"/>
      <c r="D591" s="1044"/>
      <c r="E591" s="1044"/>
      <c r="F591" s="1044"/>
    </row>
    <row r="592" spans="1:6" x14ac:dyDescent="0.25">
      <c r="A592" s="843" t="s">
        <v>418</v>
      </c>
      <c r="B592" s="1043"/>
      <c r="C592" s="1043"/>
      <c r="D592" s="1044"/>
      <c r="E592" s="1044"/>
      <c r="F592" s="1044"/>
    </row>
    <row r="593" spans="1:6" ht="60" x14ac:dyDescent="0.25">
      <c r="A593" s="843" t="s">
        <v>526</v>
      </c>
      <c r="B593" s="1043">
        <v>41764</v>
      </c>
      <c r="C593" s="1043">
        <v>41901</v>
      </c>
      <c r="D593" s="1044">
        <v>18217800</v>
      </c>
      <c r="E593" s="1044">
        <v>18217800</v>
      </c>
      <c r="F593" s="1044">
        <v>0</v>
      </c>
    </row>
    <row r="594" spans="1:6" x14ac:dyDescent="0.25">
      <c r="A594" s="843" t="s">
        <v>280</v>
      </c>
      <c r="B594" s="1043"/>
      <c r="C594" s="1043"/>
      <c r="D594" s="1044"/>
      <c r="E594" s="1044"/>
      <c r="F594" s="1044"/>
    </row>
    <row r="595" spans="1:6" x14ac:dyDescent="0.25">
      <c r="A595" s="843" t="s">
        <v>281</v>
      </c>
      <c r="B595" s="1043"/>
      <c r="C595" s="1043"/>
      <c r="D595" s="1044"/>
      <c r="E595" s="1044"/>
      <c r="F595" s="1044"/>
    </row>
    <row r="596" spans="1:6" ht="45" x14ac:dyDescent="0.25">
      <c r="A596" s="843" t="s">
        <v>527</v>
      </c>
      <c r="B596" s="1043">
        <v>41757</v>
      </c>
      <c r="C596" s="1043">
        <v>41817</v>
      </c>
      <c r="D596" s="1044">
        <v>1700007</v>
      </c>
      <c r="E596" s="1044">
        <v>1700000</v>
      </c>
      <c r="F596" s="1044">
        <v>7</v>
      </c>
    </row>
    <row r="597" spans="1:6" x14ac:dyDescent="0.25">
      <c r="A597" s="1047" t="s">
        <v>276</v>
      </c>
      <c r="B597" s="1045"/>
      <c r="C597" s="1045"/>
      <c r="D597" s="1046"/>
      <c r="E597" s="1046"/>
      <c r="F597" s="1046"/>
    </row>
    <row r="598" spans="1:6" x14ac:dyDescent="0.25">
      <c r="A598" s="843" t="s">
        <v>277</v>
      </c>
      <c r="B598" s="1045"/>
      <c r="C598" s="1045"/>
      <c r="D598" s="1046"/>
      <c r="E598" s="1046"/>
      <c r="F598" s="1046"/>
    </row>
    <row r="599" spans="1:6" ht="45" x14ac:dyDescent="0.25">
      <c r="A599" s="843" t="s">
        <v>370</v>
      </c>
      <c r="B599" s="1045">
        <v>41753</v>
      </c>
      <c r="C599" s="1045">
        <v>42117</v>
      </c>
      <c r="D599" s="1046">
        <v>32631000</v>
      </c>
      <c r="E599" s="1046">
        <v>32594631</v>
      </c>
      <c r="F599" s="1046">
        <v>36369</v>
      </c>
    </row>
    <row r="600" spans="1:6" x14ac:dyDescent="0.25">
      <c r="A600" s="1047" t="s">
        <v>283</v>
      </c>
      <c r="B600" s="1045"/>
      <c r="C600" s="1045"/>
      <c r="D600" s="1046"/>
      <c r="E600" s="1046"/>
      <c r="F600" s="1046"/>
    </row>
    <row r="601" spans="1:6" x14ac:dyDescent="0.25">
      <c r="A601" s="843" t="s">
        <v>284</v>
      </c>
      <c r="B601" s="1045"/>
      <c r="C601" s="1045"/>
      <c r="D601" s="1046"/>
      <c r="E601" s="1046"/>
      <c r="F601" s="1046"/>
    </row>
    <row r="602" spans="1:6" ht="60" x14ac:dyDescent="0.25">
      <c r="A602" s="843" t="s">
        <v>528</v>
      </c>
      <c r="B602" s="1045">
        <v>41807</v>
      </c>
      <c r="C602" s="1045">
        <v>42128</v>
      </c>
      <c r="D602" s="1046">
        <v>45100746</v>
      </c>
      <c r="E602" s="1046">
        <v>45045000</v>
      </c>
      <c r="F602" s="1046">
        <v>55746</v>
      </c>
    </row>
    <row r="603" spans="1:6" x14ac:dyDescent="0.25">
      <c r="A603" s="843" t="s">
        <v>289</v>
      </c>
      <c r="B603" s="1043"/>
      <c r="C603" s="1043"/>
      <c r="D603" s="1044"/>
      <c r="E603" s="1044"/>
      <c r="F603" s="1044"/>
    </row>
    <row r="604" spans="1:6" x14ac:dyDescent="0.25">
      <c r="A604" s="843" t="s">
        <v>290</v>
      </c>
      <c r="B604" s="1043"/>
      <c r="C604" s="1043"/>
      <c r="D604" s="1044"/>
      <c r="E604" s="1044"/>
      <c r="F604" s="1044"/>
    </row>
    <row r="605" spans="1:6" ht="45" x14ac:dyDescent="0.25">
      <c r="A605" s="843" t="s">
        <v>529</v>
      </c>
      <c r="B605" s="1043">
        <v>41794</v>
      </c>
      <c r="C605" s="1043">
        <v>41855</v>
      </c>
      <c r="D605" s="1044">
        <v>9998117</v>
      </c>
      <c r="E605" s="1044">
        <v>9998097</v>
      </c>
      <c r="F605" s="1044">
        <v>20</v>
      </c>
    </row>
    <row r="606" spans="1:6" x14ac:dyDescent="0.25">
      <c r="A606" s="1047" t="s">
        <v>300</v>
      </c>
      <c r="B606" s="1045"/>
      <c r="C606" s="1045"/>
      <c r="D606" s="1046"/>
      <c r="E606" s="1046"/>
      <c r="F606" s="1046"/>
    </row>
    <row r="607" spans="1:6" x14ac:dyDescent="0.25">
      <c r="A607" s="843" t="s">
        <v>1571</v>
      </c>
      <c r="B607" s="1043"/>
      <c r="C607" s="1043"/>
      <c r="D607" s="1044"/>
      <c r="E607" s="1044"/>
      <c r="F607" s="1044"/>
    </row>
    <row r="608" spans="1:6" ht="45" x14ac:dyDescent="0.25">
      <c r="A608" s="843" t="s">
        <v>530</v>
      </c>
      <c r="B608" s="1043">
        <v>41824</v>
      </c>
      <c r="C608" s="1043">
        <v>42312</v>
      </c>
      <c r="D608" s="1044">
        <v>12000000</v>
      </c>
      <c r="E608" s="1044">
        <v>10800000</v>
      </c>
      <c r="F608" s="1044">
        <v>1200000</v>
      </c>
    </row>
    <row r="609" spans="1:6" x14ac:dyDescent="0.25">
      <c r="A609" s="1047" t="s">
        <v>401</v>
      </c>
      <c r="B609" s="1045"/>
      <c r="C609" s="1045"/>
      <c r="D609" s="1046"/>
      <c r="E609" s="1046"/>
      <c r="F609" s="1046"/>
    </row>
    <row r="610" spans="1:6" x14ac:dyDescent="0.25">
      <c r="A610" s="843" t="s">
        <v>547</v>
      </c>
      <c r="B610" s="1045"/>
      <c r="C610" s="1045"/>
      <c r="D610" s="1046"/>
      <c r="E610" s="1046"/>
      <c r="F610" s="1046"/>
    </row>
    <row r="611" spans="1:6" ht="75" x14ac:dyDescent="0.25">
      <c r="A611" s="843" t="s">
        <v>1051</v>
      </c>
      <c r="B611" s="1045">
        <v>41837</v>
      </c>
      <c r="C611" s="1045">
        <v>42216</v>
      </c>
      <c r="D611" s="1046">
        <v>249991314</v>
      </c>
      <c r="E611" s="1046">
        <v>248275406</v>
      </c>
      <c r="F611" s="1046">
        <v>1715908</v>
      </c>
    </row>
    <row r="612" spans="1:6" x14ac:dyDescent="0.25">
      <c r="A612" s="843" t="s">
        <v>296</v>
      </c>
      <c r="B612" s="1043"/>
      <c r="C612" s="1043"/>
      <c r="D612" s="1044"/>
      <c r="E612" s="1044"/>
      <c r="F612" s="1044"/>
    </row>
    <row r="613" spans="1:6" x14ac:dyDescent="0.25">
      <c r="A613" s="843" t="s">
        <v>1039</v>
      </c>
      <c r="B613" s="1043"/>
      <c r="C613" s="1043"/>
      <c r="D613" s="1044"/>
      <c r="E613" s="1044"/>
      <c r="F613" s="1044"/>
    </row>
    <row r="614" spans="1:6" ht="45" x14ac:dyDescent="0.25">
      <c r="A614" s="843" t="s">
        <v>531</v>
      </c>
      <c r="B614" s="1043">
        <v>41807</v>
      </c>
      <c r="C614" s="1043">
        <v>41867</v>
      </c>
      <c r="D614" s="1044">
        <v>5719790</v>
      </c>
      <c r="E614" s="1044">
        <v>5719790</v>
      </c>
      <c r="F614" s="1044">
        <v>0</v>
      </c>
    </row>
    <row r="615" spans="1:6" x14ac:dyDescent="0.25">
      <c r="A615" s="1047" t="s">
        <v>287</v>
      </c>
      <c r="B615" s="1045"/>
      <c r="C615" s="1045"/>
      <c r="D615" s="1046"/>
      <c r="E615" s="1046"/>
      <c r="F615" s="1046"/>
    </row>
    <row r="616" spans="1:6" x14ac:dyDescent="0.25">
      <c r="A616" s="843" t="s">
        <v>1018</v>
      </c>
      <c r="B616" s="1043"/>
      <c r="C616" s="1043"/>
      <c r="D616" s="1044"/>
      <c r="E616" s="1044"/>
      <c r="F616" s="1044"/>
    </row>
    <row r="617" spans="1:6" ht="60" x14ac:dyDescent="0.25">
      <c r="A617" s="843" t="s">
        <v>532</v>
      </c>
      <c r="B617" s="1043">
        <v>41811</v>
      </c>
      <c r="C617" s="1043">
        <v>42186</v>
      </c>
      <c r="D617" s="1044">
        <v>337487000</v>
      </c>
      <c r="E617" s="1044">
        <v>337486998</v>
      </c>
      <c r="F617" s="1044">
        <v>2</v>
      </c>
    </row>
    <row r="618" spans="1:6" x14ac:dyDescent="0.25">
      <c r="A618" s="1047" t="s">
        <v>291</v>
      </c>
      <c r="B618" s="1045"/>
      <c r="C618" s="1045"/>
      <c r="D618" s="1046"/>
      <c r="E618" s="1046"/>
      <c r="F618" s="1046"/>
    </row>
    <row r="619" spans="1:6" x14ac:dyDescent="0.25">
      <c r="A619" s="843" t="s">
        <v>1048</v>
      </c>
      <c r="B619" s="1045"/>
      <c r="C619" s="1045"/>
      <c r="D619" s="1046"/>
      <c r="E619" s="1046"/>
      <c r="F619" s="1046"/>
    </row>
    <row r="620" spans="1:6" ht="60" x14ac:dyDescent="0.25">
      <c r="A620" s="843" t="s">
        <v>533</v>
      </c>
      <c r="B620" s="1045">
        <v>41808</v>
      </c>
      <c r="C620" s="1045">
        <v>42116</v>
      </c>
      <c r="D620" s="1046">
        <v>3463454100</v>
      </c>
      <c r="E620" s="1046">
        <v>3320263630</v>
      </c>
      <c r="F620" s="1046">
        <v>143190470</v>
      </c>
    </row>
    <row r="621" spans="1:6" x14ac:dyDescent="0.25">
      <c r="A621" s="843" t="s">
        <v>305</v>
      </c>
      <c r="B621" s="1043"/>
      <c r="C621" s="1043"/>
      <c r="D621" s="1044"/>
      <c r="E621" s="1044"/>
      <c r="F621" s="1044"/>
    </row>
    <row r="622" spans="1:6" x14ac:dyDescent="0.25">
      <c r="A622" s="843" t="s">
        <v>306</v>
      </c>
      <c r="B622" s="1043"/>
      <c r="C622" s="1043"/>
      <c r="D622" s="1044"/>
      <c r="E622" s="1044"/>
      <c r="F622" s="1044"/>
    </row>
    <row r="623" spans="1:6" ht="30" x14ac:dyDescent="0.25">
      <c r="A623" s="843" t="s">
        <v>534</v>
      </c>
      <c r="B623" s="1043">
        <v>41841</v>
      </c>
      <c r="C623" s="1043">
        <v>41872</v>
      </c>
      <c r="D623" s="1044">
        <v>330000</v>
      </c>
      <c r="E623" s="1044">
        <v>330000</v>
      </c>
      <c r="F623" s="1044">
        <v>0</v>
      </c>
    </row>
    <row r="624" spans="1:6" x14ac:dyDescent="0.25">
      <c r="A624" s="1047" t="s">
        <v>285</v>
      </c>
      <c r="B624" s="1045"/>
      <c r="C624" s="1045"/>
      <c r="D624" s="1046"/>
      <c r="E624" s="1046"/>
      <c r="F624" s="1046"/>
    </row>
    <row r="625" spans="1:6" x14ac:dyDescent="0.25">
      <c r="A625" s="843" t="s">
        <v>3</v>
      </c>
      <c r="B625" s="1043"/>
      <c r="C625" s="1043"/>
      <c r="D625" s="1044"/>
      <c r="E625" s="1044"/>
      <c r="F625" s="1044"/>
    </row>
    <row r="626" spans="1:6" x14ac:dyDescent="0.25">
      <c r="A626" s="843" t="s">
        <v>402</v>
      </c>
      <c r="B626" s="1043">
        <v>41806</v>
      </c>
      <c r="C626" s="1043">
        <v>41959</v>
      </c>
      <c r="D626" s="1044">
        <v>251750000</v>
      </c>
      <c r="E626" s="1044">
        <v>180186681</v>
      </c>
      <c r="F626" s="1044">
        <v>71563319</v>
      </c>
    </row>
    <row r="627" spans="1:6" x14ac:dyDescent="0.25">
      <c r="A627" s="843" t="s">
        <v>299</v>
      </c>
      <c r="B627" s="1043"/>
      <c r="C627" s="1043"/>
      <c r="D627" s="1044"/>
      <c r="E627" s="1044"/>
      <c r="F627" s="1044"/>
    </row>
    <row r="628" spans="1:6" x14ac:dyDescent="0.25">
      <c r="A628" s="843" t="s">
        <v>1049</v>
      </c>
      <c r="B628" s="1043"/>
      <c r="C628" s="1043"/>
      <c r="D628" s="1044"/>
      <c r="E628" s="1044"/>
      <c r="F628" s="1044"/>
    </row>
    <row r="629" spans="1:6" ht="30" x14ac:dyDescent="0.25">
      <c r="A629" s="843" t="s">
        <v>535</v>
      </c>
      <c r="B629" s="1043">
        <v>41838</v>
      </c>
      <c r="C629" s="1043">
        <v>41852</v>
      </c>
      <c r="D629" s="1044">
        <v>2962640</v>
      </c>
      <c r="E629" s="1044">
        <v>2962640</v>
      </c>
      <c r="F629" s="1044">
        <v>0</v>
      </c>
    </row>
    <row r="630" spans="1:6" x14ac:dyDescent="0.25">
      <c r="A630" s="1047" t="s">
        <v>294</v>
      </c>
      <c r="B630" s="1045"/>
      <c r="C630" s="1045"/>
      <c r="D630" s="1046"/>
      <c r="E630" s="1046"/>
      <c r="F630" s="1046"/>
    </row>
    <row r="631" spans="1:6" x14ac:dyDescent="0.25">
      <c r="A631" s="843" t="s">
        <v>295</v>
      </c>
      <c r="B631" s="1045"/>
      <c r="C631" s="1045"/>
      <c r="D631" s="1046"/>
      <c r="E631" s="1046"/>
      <c r="F631" s="1046"/>
    </row>
    <row r="632" spans="1:6" ht="30" x14ac:dyDescent="0.25">
      <c r="A632" s="843" t="s">
        <v>536</v>
      </c>
      <c r="B632" s="1045">
        <v>41821</v>
      </c>
      <c r="C632" s="1045">
        <v>42186</v>
      </c>
      <c r="D632" s="1046">
        <v>36581760</v>
      </c>
      <c r="E632" s="1046">
        <v>34363318</v>
      </c>
      <c r="F632" s="1046">
        <v>2218442</v>
      </c>
    </row>
    <row r="633" spans="1:6" x14ac:dyDescent="0.25">
      <c r="A633" s="1047" t="s">
        <v>292</v>
      </c>
      <c r="B633" s="1045"/>
      <c r="C633" s="1045"/>
      <c r="D633" s="1046"/>
      <c r="E633" s="1046"/>
      <c r="F633" s="1046"/>
    </row>
    <row r="634" spans="1:6" x14ac:dyDescent="0.25">
      <c r="A634" s="843" t="s">
        <v>293</v>
      </c>
      <c r="B634" s="1045"/>
      <c r="C634" s="1045"/>
      <c r="D634" s="1046"/>
      <c r="E634" s="1046"/>
      <c r="F634" s="1046"/>
    </row>
    <row r="635" spans="1:6" ht="75" x14ac:dyDescent="0.25">
      <c r="A635" s="843" t="s">
        <v>537</v>
      </c>
      <c r="B635" s="1045">
        <v>41799</v>
      </c>
      <c r="C635" s="1045">
        <v>42247</v>
      </c>
      <c r="D635" s="1046">
        <v>18714400</v>
      </c>
      <c r="E635" s="1046">
        <v>18714400</v>
      </c>
      <c r="F635" s="1046">
        <v>0</v>
      </c>
    </row>
    <row r="636" spans="1:6" x14ac:dyDescent="0.25">
      <c r="A636" s="1047" t="s">
        <v>298</v>
      </c>
      <c r="B636" s="1045"/>
      <c r="C636" s="1045"/>
      <c r="D636" s="1046"/>
      <c r="E636" s="1046"/>
      <c r="F636" s="1046"/>
    </row>
    <row r="637" spans="1:6" x14ac:dyDescent="0.25">
      <c r="A637" s="843" t="s">
        <v>90</v>
      </c>
      <c r="B637" s="1045"/>
      <c r="C637" s="1045"/>
      <c r="D637" s="1046"/>
      <c r="E637" s="1046"/>
      <c r="F637" s="1046"/>
    </row>
    <row r="638" spans="1:6" ht="60" x14ac:dyDescent="0.25">
      <c r="A638" s="843" t="s">
        <v>538</v>
      </c>
      <c r="B638" s="1045">
        <v>41838</v>
      </c>
      <c r="C638" s="1045">
        <v>42203</v>
      </c>
      <c r="D638" s="1046">
        <v>683000</v>
      </c>
      <c r="E638" s="1046">
        <v>683000</v>
      </c>
      <c r="F638" s="1046">
        <v>0</v>
      </c>
    </row>
    <row r="639" spans="1:6" x14ac:dyDescent="0.25">
      <c r="A639" s="1047" t="s">
        <v>302</v>
      </c>
      <c r="B639" s="1045"/>
      <c r="C639" s="1045"/>
      <c r="D639" s="1046"/>
      <c r="E639" s="1046"/>
      <c r="F639" s="1046"/>
    </row>
    <row r="640" spans="1:6" x14ac:dyDescent="0.25">
      <c r="A640" s="843" t="s">
        <v>303</v>
      </c>
      <c r="B640" s="1045"/>
      <c r="C640" s="1045"/>
      <c r="D640" s="1046"/>
      <c r="E640" s="1046"/>
      <c r="F640" s="1046"/>
    </row>
    <row r="641" spans="1:6" ht="75" x14ac:dyDescent="0.25">
      <c r="A641" s="843" t="s">
        <v>539</v>
      </c>
      <c r="B641" s="1045">
        <v>41835</v>
      </c>
      <c r="C641" s="1045">
        <v>42050</v>
      </c>
      <c r="D641" s="1046">
        <v>4672000</v>
      </c>
      <c r="E641" s="1046">
        <v>1806200</v>
      </c>
      <c r="F641" s="1046">
        <v>2865800</v>
      </c>
    </row>
    <row r="642" spans="1:6" x14ac:dyDescent="0.25">
      <c r="A642" s="1047" t="s">
        <v>297</v>
      </c>
      <c r="B642" s="1045"/>
      <c r="C642" s="1045"/>
      <c r="D642" s="1046"/>
      <c r="E642" s="1046"/>
      <c r="F642" s="1046"/>
    </row>
    <row r="643" spans="1:6" x14ac:dyDescent="0.25">
      <c r="A643" s="1047" t="s">
        <v>999</v>
      </c>
      <c r="B643" s="1045"/>
      <c r="C643" s="1045"/>
      <c r="D643" s="1046"/>
      <c r="E643" s="1046"/>
      <c r="F643" s="1046"/>
    </row>
    <row r="644" spans="1:6" ht="45.75" x14ac:dyDescent="0.25">
      <c r="A644" s="1047" t="s">
        <v>540</v>
      </c>
      <c r="B644" s="1045">
        <v>41835</v>
      </c>
      <c r="C644" s="1045">
        <v>42139</v>
      </c>
      <c r="D644" s="1046">
        <v>97800000</v>
      </c>
      <c r="E644" s="1046">
        <v>97794518</v>
      </c>
      <c r="F644" s="1046">
        <v>5482</v>
      </c>
    </row>
    <row r="645" spans="1:6" x14ac:dyDescent="0.25">
      <c r="A645" s="1047" t="s">
        <v>304</v>
      </c>
      <c r="B645" s="1045"/>
      <c r="C645" s="1045"/>
      <c r="D645" s="1046"/>
      <c r="E645" s="1046"/>
      <c r="F645" s="1046"/>
    </row>
    <row r="646" spans="1:6" x14ac:dyDescent="0.25">
      <c r="A646" s="843" t="s">
        <v>1006</v>
      </c>
      <c r="B646" s="1045"/>
      <c r="C646" s="1045"/>
      <c r="D646" s="1046"/>
      <c r="E646" s="1046"/>
      <c r="F646" s="1046"/>
    </row>
    <row r="647" spans="1:6" ht="45" x14ac:dyDescent="0.25">
      <c r="A647" s="843" t="s">
        <v>371</v>
      </c>
      <c r="B647" s="1045">
        <v>41842</v>
      </c>
      <c r="C647" s="1045">
        <v>41965</v>
      </c>
      <c r="D647" s="1046">
        <v>2228070</v>
      </c>
      <c r="E647" s="1046">
        <v>2228070</v>
      </c>
      <c r="F647" s="1046">
        <v>0</v>
      </c>
    </row>
    <row r="648" spans="1:6" x14ac:dyDescent="0.25">
      <c r="A648" s="1047" t="s">
        <v>308</v>
      </c>
      <c r="B648" s="1045"/>
      <c r="C648" s="1045"/>
      <c r="D648" s="1046"/>
      <c r="E648" s="1046"/>
      <c r="F648" s="1046"/>
    </row>
    <row r="649" spans="1:6" x14ac:dyDescent="0.25">
      <c r="A649" s="843" t="s">
        <v>1050</v>
      </c>
      <c r="B649" s="1045"/>
      <c r="C649" s="1045"/>
      <c r="D649" s="1046"/>
      <c r="E649" s="1046"/>
      <c r="F649" s="1046"/>
    </row>
    <row r="650" spans="1:6" ht="30" x14ac:dyDescent="0.25">
      <c r="A650" s="843" t="s">
        <v>373</v>
      </c>
      <c r="B650" s="1045">
        <v>41862</v>
      </c>
      <c r="C650" s="1045">
        <v>41923</v>
      </c>
      <c r="D650" s="1046">
        <v>2260000</v>
      </c>
      <c r="E650" s="1046">
        <v>1595000</v>
      </c>
      <c r="F650" s="1046">
        <v>665000</v>
      </c>
    </row>
    <row r="651" spans="1:6" x14ac:dyDescent="0.25">
      <c r="A651" s="1047" t="s">
        <v>307</v>
      </c>
      <c r="B651" s="1045"/>
      <c r="C651" s="1045"/>
      <c r="D651" s="1046"/>
      <c r="E651" s="1046"/>
      <c r="F651" s="1046"/>
    </row>
    <row r="652" spans="1:6" x14ac:dyDescent="0.25">
      <c r="A652" s="843" t="s">
        <v>144</v>
      </c>
      <c r="B652" s="1045"/>
      <c r="C652" s="1045"/>
      <c r="D652" s="1046"/>
      <c r="E652" s="1046"/>
      <c r="F652" s="1046"/>
    </row>
    <row r="653" spans="1:6" ht="45" x14ac:dyDescent="0.25">
      <c r="A653" s="843" t="s">
        <v>372</v>
      </c>
      <c r="B653" s="1045">
        <v>41850</v>
      </c>
      <c r="C653" s="1045">
        <v>42108</v>
      </c>
      <c r="D653" s="1046">
        <v>290648563</v>
      </c>
      <c r="E653" s="1046">
        <v>290648563</v>
      </c>
      <c r="F653" s="1046">
        <v>0</v>
      </c>
    </row>
    <row r="654" spans="1:6" x14ac:dyDescent="0.25">
      <c r="A654" s="1047" t="s">
        <v>546</v>
      </c>
      <c r="B654" s="1045"/>
      <c r="C654" s="1045"/>
      <c r="D654" s="1046"/>
      <c r="E654" s="1046"/>
      <c r="F654" s="1046"/>
    </row>
    <row r="655" spans="1:6" x14ac:dyDescent="0.25">
      <c r="A655" s="843" t="s">
        <v>310</v>
      </c>
      <c r="B655" s="1045"/>
      <c r="C655" s="1045"/>
      <c r="D655" s="1046"/>
      <c r="E655" s="1046"/>
      <c r="F655" s="1046"/>
    </row>
    <row r="656" spans="1:6" x14ac:dyDescent="0.25">
      <c r="A656" s="843" t="s">
        <v>545</v>
      </c>
      <c r="B656" s="1045">
        <v>41871</v>
      </c>
      <c r="C656" s="1045">
        <v>41932</v>
      </c>
      <c r="D656" s="1046">
        <v>14975600</v>
      </c>
      <c r="E656" s="1046">
        <v>14975600</v>
      </c>
      <c r="F656" s="1046">
        <v>0</v>
      </c>
    </row>
    <row r="657" spans="1:6" x14ac:dyDescent="0.25">
      <c r="A657" s="1047" t="s">
        <v>548</v>
      </c>
      <c r="B657" s="1045"/>
      <c r="C657" s="1045"/>
      <c r="D657" s="1046"/>
      <c r="E657" s="1046"/>
      <c r="F657" s="1046"/>
    </row>
    <row r="658" spans="1:6" x14ac:dyDescent="0.25">
      <c r="A658" s="843" t="s">
        <v>13</v>
      </c>
      <c r="B658" s="1043"/>
      <c r="C658" s="1043"/>
      <c r="D658" s="1044"/>
      <c r="E658" s="1044"/>
      <c r="F658" s="1044"/>
    </row>
    <row r="659" spans="1:6" x14ac:dyDescent="0.25">
      <c r="A659" s="843" t="s">
        <v>550</v>
      </c>
      <c r="B659" s="1043">
        <v>41893</v>
      </c>
      <c r="C659" s="1043">
        <v>42258</v>
      </c>
      <c r="D659" s="1044">
        <v>936000</v>
      </c>
      <c r="E659" s="1044">
        <v>936000</v>
      </c>
      <c r="F659" s="1044">
        <v>0</v>
      </c>
    </row>
    <row r="660" spans="1:6" x14ac:dyDescent="0.25">
      <c r="A660" s="1047" t="s">
        <v>551</v>
      </c>
      <c r="B660" s="1045"/>
      <c r="C660" s="1045"/>
      <c r="D660" s="1046"/>
      <c r="E660" s="1046"/>
      <c r="F660" s="1046"/>
    </row>
    <row r="661" spans="1:6" x14ac:dyDescent="0.25">
      <c r="A661" s="843" t="s">
        <v>29</v>
      </c>
      <c r="B661" s="1043"/>
      <c r="C661" s="1043"/>
      <c r="D661" s="1044"/>
      <c r="E661" s="1044"/>
      <c r="F661" s="1044"/>
    </row>
    <row r="662" spans="1:6" x14ac:dyDescent="0.25">
      <c r="A662" s="843" t="s">
        <v>1001</v>
      </c>
      <c r="B662" s="1043">
        <v>41896</v>
      </c>
      <c r="C662" s="1043">
        <v>42261</v>
      </c>
      <c r="D662" s="1044">
        <v>855000</v>
      </c>
      <c r="E662" s="1044">
        <v>855000</v>
      </c>
      <c r="F662" s="1044">
        <v>0</v>
      </c>
    </row>
    <row r="663" spans="1:6" x14ac:dyDescent="0.25">
      <c r="A663" s="1047" t="s">
        <v>553</v>
      </c>
      <c r="B663" s="1045"/>
      <c r="C663" s="1045"/>
      <c r="D663" s="1046"/>
      <c r="E663" s="1046"/>
      <c r="F663" s="1046"/>
    </row>
    <row r="664" spans="1:6" x14ac:dyDescent="0.25">
      <c r="A664" s="843" t="s">
        <v>554</v>
      </c>
      <c r="B664" s="1045"/>
      <c r="C664" s="1045"/>
      <c r="D664" s="1046"/>
      <c r="E664" s="1046"/>
      <c r="F664" s="1046"/>
    </row>
    <row r="665" spans="1:6" ht="45" x14ac:dyDescent="0.25">
      <c r="A665" s="843" t="s">
        <v>1002</v>
      </c>
      <c r="B665" s="1045">
        <v>41887</v>
      </c>
      <c r="C665" s="1045">
        <v>42009</v>
      </c>
      <c r="D665" s="1046">
        <v>19356282</v>
      </c>
      <c r="E665" s="1046">
        <v>19356282</v>
      </c>
      <c r="F665" s="1046">
        <v>0</v>
      </c>
    </row>
    <row r="666" spans="1:6" x14ac:dyDescent="0.25">
      <c r="A666" s="1047" t="s">
        <v>555</v>
      </c>
      <c r="B666" s="1045"/>
      <c r="C666" s="1045"/>
      <c r="D666" s="1046"/>
      <c r="E666" s="1046"/>
      <c r="F666" s="1046"/>
    </row>
    <row r="667" spans="1:6" x14ac:dyDescent="0.25">
      <c r="A667" s="843" t="s">
        <v>1067</v>
      </c>
      <c r="B667" s="1043"/>
      <c r="C667" s="1043"/>
      <c r="D667" s="1044"/>
      <c r="E667" s="1044"/>
      <c r="F667" s="1044"/>
    </row>
    <row r="668" spans="1:6" ht="45" x14ac:dyDescent="0.25">
      <c r="A668" s="843" t="s">
        <v>1003</v>
      </c>
      <c r="B668" s="1043">
        <v>41891</v>
      </c>
      <c r="C668" s="1043">
        <v>42013</v>
      </c>
      <c r="D668" s="1044">
        <v>25000000</v>
      </c>
      <c r="E668" s="1044">
        <v>25000000</v>
      </c>
      <c r="F668" s="1044">
        <v>0</v>
      </c>
    </row>
    <row r="669" spans="1:6" x14ac:dyDescent="0.25">
      <c r="A669" s="1047" t="s">
        <v>556</v>
      </c>
      <c r="B669" s="1045"/>
      <c r="C669" s="1045"/>
      <c r="D669" s="1046"/>
      <c r="E669" s="1046"/>
      <c r="F669" s="1046"/>
    </row>
    <row r="670" spans="1:6" x14ac:dyDescent="0.25">
      <c r="A670" s="843" t="s">
        <v>1004</v>
      </c>
      <c r="B670" s="1045"/>
      <c r="C670" s="1045"/>
      <c r="D670" s="1046"/>
      <c r="E670" s="1046"/>
      <c r="F670" s="1046"/>
    </row>
    <row r="671" spans="1:6" ht="45" x14ac:dyDescent="0.25">
      <c r="A671" s="843" t="s">
        <v>557</v>
      </c>
      <c r="B671" s="1045">
        <v>41893</v>
      </c>
      <c r="C671" s="1045">
        <v>42046</v>
      </c>
      <c r="D671" s="1046">
        <v>25000000</v>
      </c>
      <c r="E671" s="1046">
        <v>25000000</v>
      </c>
      <c r="F671" s="1046">
        <v>0</v>
      </c>
    </row>
    <row r="672" spans="1:6" x14ac:dyDescent="0.25">
      <c r="A672" s="843" t="s">
        <v>1069</v>
      </c>
      <c r="B672" s="1043"/>
      <c r="C672" s="1043"/>
      <c r="D672" s="1044"/>
      <c r="E672" s="1044"/>
      <c r="F672" s="1044"/>
    </row>
    <row r="673" spans="1:6" x14ac:dyDescent="0.25">
      <c r="A673" s="843" t="s">
        <v>1070</v>
      </c>
      <c r="B673" s="1043"/>
      <c r="C673" s="1043"/>
      <c r="D673" s="1044"/>
      <c r="E673" s="1044"/>
      <c r="F673" s="1044"/>
    </row>
    <row r="674" spans="1:6" ht="45" x14ac:dyDescent="0.25">
      <c r="A674" s="843" t="s">
        <v>1074</v>
      </c>
      <c r="B674" s="1043">
        <v>41900</v>
      </c>
      <c r="C674" s="1043">
        <v>42053</v>
      </c>
      <c r="D674" s="1044">
        <v>17500000</v>
      </c>
      <c r="E674" s="1044">
        <v>17500000</v>
      </c>
      <c r="F674" s="1044">
        <v>0</v>
      </c>
    </row>
    <row r="675" spans="1:6" x14ac:dyDescent="0.25">
      <c r="A675" s="843" t="s">
        <v>1071</v>
      </c>
      <c r="B675" s="1043"/>
      <c r="C675" s="1043"/>
      <c r="D675" s="1044"/>
      <c r="E675" s="1044"/>
      <c r="F675" s="1044"/>
    </row>
    <row r="676" spans="1:6" x14ac:dyDescent="0.25">
      <c r="A676" s="843" t="s">
        <v>1072</v>
      </c>
      <c r="B676" s="1043"/>
      <c r="C676" s="1043"/>
      <c r="D676" s="1044"/>
      <c r="E676" s="1044"/>
      <c r="F676" s="1044"/>
    </row>
    <row r="677" spans="1:6" ht="45" x14ac:dyDescent="0.25">
      <c r="A677" s="843" t="s">
        <v>1075</v>
      </c>
      <c r="B677" s="1043">
        <v>41911</v>
      </c>
      <c r="C677" s="1043">
        <v>42033</v>
      </c>
      <c r="D677" s="1044">
        <v>10000000</v>
      </c>
      <c r="E677" s="1044">
        <v>10000000</v>
      </c>
      <c r="F677" s="1044">
        <v>0</v>
      </c>
    </row>
    <row r="678" spans="1:6" x14ac:dyDescent="0.25">
      <c r="A678" s="843" t="s">
        <v>1101</v>
      </c>
      <c r="B678" s="1043"/>
      <c r="C678" s="1043"/>
      <c r="D678" s="1044"/>
      <c r="E678" s="1044"/>
      <c r="F678" s="1044"/>
    </row>
    <row r="679" spans="1:6" x14ac:dyDescent="0.25">
      <c r="A679" s="843" t="s">
        <v>435</v>
      </c>
      <c r="B679" s="1043"/>
      <c r="C679" s="1043"/>
      <c r="D679" s="1044"/>
      <c r="E679" s="1044"/>
      <c r="F679" s="1044"/>
    </row>
    <row r="680" spans="1:6" ht="45" x14ac:dyDescent="0.25">
      <c r="A680" s="843" t="s">
        <v>1103</v>
      </c>
      <c r="B680" s="1043">
        <v>41842</v>
      </c>
      <c r="C680" s="1043">
        <v>42207</v>
      </c>
      <c r="D680" s="1044">
        <v>6252000</v>
      </c>
      <c r="E680" s="1044">
        <v>5665189</v>
      </c>
      <c r="F680" s="1044">
        <v>586811</v>
      </c>
    </row>
    <row r="681" spans="1:6" x14ac:dyDescent="0.25">
      <c r="A681" s="843" t="s">
        <v>1334</v>
      </c>
      <c r="B681" s="1043"/>
      <c r="C681" s="1043"/>
      <c r="D681" s="1044"/>
      <c r="E681" s="1044"/>
      <c r="F681" s="1044"/>
    </row>
    <row r="682" spans="1:6" x14ac:dyDescent="0.25">
      <c r="A682" s="843" t="s">
        <v>1335</v>
      </c>
      <c r="B682" s="1043"/>
      <c r="C682" s="1043"/>
      <c r="D682" s="1044"/>
      <c r="E682" s="1044"/>
      <c r="F682" s="1044"/>
    </row>
    <row r="683" spans="1:6" ht="60" x14ac:dyDescent="0.25">
      <c r="A683" s="843" t="s">
        <v>1336</v>
      </c>
      <c r="B683" s="1043">
        <v>41935</v>
      </c>
      <c r="C683" s="1043">
        <v>42027</v>
      </c>
      <c r="D683" s="1044">
        <v>4136000</v>
      </c>
      <c r="E683" s="1044">
        <v>2251047</v>
      </c>
      <c r="F683" s="1044">
        <v>1884953</v>
      </c>
    </row>
    <row r="684" spans="1:6" x14ac:dyDescent="0.25">
      <c r="A684" s="843" t="s">
        <v>919</v>
      </c>
      <c r="B684" s="1043"/>
      <c r="C684" s="1043"/>
      <c r="D684" s="1044"/>
      <c r="E684" s="1044"/>
      <c r="F684" s="1044"/>
    </row>
    <row r="685" spans="1:6" x14ac:dyDescent="0.25">
      <c r="A685" s="843" t="s">
        <v>1104</v>
      </c>
      <c r="B685" s="1043">
        <v>41837</v>
      </c>
      <c r="C685" s="1043">
        <v>42202</v>
      </c>
      <c r="D685" s="1044">
        <v>3846133</v>
      </c>
      <c r="E685" s="1044">
        <v>0</v>
      </c>
      <c r="F685" s="1044">
        <v>3846133</v>
      </c>
    </row>
    <row r="686" spans="1:6" x14ac:dyDescent="0.25">
      <c r="A686" s="843" t="s">
        <v>1106</v>
      </c>
      <c r="B686" s="1043"/>
      <c r="C686" s="1043"/>
      <c r="D686" s="1044"/>
      <c r="E686" s="1044"/>
      <c r="F686" s="1044"/>
    </row>
    <row r="687" spans="1:6" x14ac:dyDescent="0.25">
      <c r="A687" s="843" t="s">
        <v>100</v>
      </c>
      <c r="B687" s="1043">
        <v>41703</v>
      </c>
      <c r="C687" s="1043">
        <v>42129</v>
      </c>
      <c r="D687" s="1044">
        <v>30000000</v>
      </c>
      <c r="E687" s="1044">
        <v>28330110</v>
      </c>
      <c r="F687" s="1044">
        <v>1669890</v>
      </c>
    </row>
    <row r="688" spans="1:6" x14ac:dyDescent="0.25">
      <c r="A688" s="843" t="s">
        <v>1109</v>
      </c>
      <c r="B688" s="1043"/>
      <c r="C688" s="1043"/>
      <c r="D688" s="1044"/>
      <c r="E688" s="1044"/>
      <c r="F688" s="1044"/>
    </row>
    <row r="689" spans="1:6" x14ac:dyDescent="0.25">
      <c r="A689" s="843" t="s">
        <v>222</v>
      </c>
      <c r="B689" s="1043">
        <v>41675</v>
      </c>
      <c r="C689" s="1043">
        <v>42008</v>
      </c>
      <c r="D689" s="1044">
        <v>55000000</v>
      </c>
      <c r="E689" s="1044">
        <v>55000000</v>
      </c>
      <c r="F689" s="1044">
        <v>0</v>
      </c>
    </row>
    <row r="690" spans="1:6" x14ac:dyDescent="0.25">
      <c r="A690" s="843" t="s">
        <v>1114</v>
      </c>
      <c r="B690" s="1043"/>
      <c r="C690" s="1043"/>
      <c r="D690" s="1044"/>
      <c r="E690" s="1044"/>
      <c r="F690" s="1044"/>
    </row>
    <row r="691" spans="1:6" x14ac:dyDescent="0.25">
      <c r="A691" s="843" t="s">
        <v>1115</v>
      </c>
      <c r="B691" s="1043"/>
      <c r="C691" s="1043"/>
      <c r="D691" s="1044"/>
      <c r="E691" s="1044"/>
      <c r="F691" s="1044"/>
    </row>
    <row r="692" spans="1:6" x14ac:dyDescent="0.25">
      <c r="A692" s="843" t="s">
        <v>1116</v>
      </c>
      <c r="B692" s="1043">
        <v>41929</v>
      </c>
      <c r="C692" s="1043">
        <v>42021</v>
      </c>
      <c r="D692" s="1044">
        <v>14153603</v>
      </c>
      <c r="E692" s="1044">
        <v>14153603</v>
      </c>
      <c r="F692" s="1044">
        <v>0</v>
      </c>
    </row>
    <row r="693" spans="1:6" x14ac:dyDescent="0.25">
      <c r="A693" s="843" t="s">
        <v>1120</v>
      </c>
      <c r="B693" s="1043"/>
      <c r="C693" s="1043"/>
      <c r="D693" s="1044"/>
      <c r="E693" s="1044"/>
      <c r="F693" s="1044"/>
    </row>
    <row r="694" spans="1:6" x14ac:dyDescent="0.25">
      <c r="A694" s="843" t="s">
        <v>1121</v>
      </c>
      <c r="B694" s="1043"/>
      <c r="C694" s="1043"/>
      <c r="D694" s="1044"/>
      <c r="E694" s="1044"/>
      <c r="F694" s="1044"/>
    </row>
    <row r="695" spans="1:6" ht="30" x14ac:dyDescent="0.25">
      <c r="A695" s="843" t="s">
        <v>1773</v>
      </c>
      <c r="B695" s="1043">
        <v>41928</v>
      </c>
      <c r="C695" s="1043">
        <v>42004</v>
      </c>
      <c r="D695" s="1044">
        <v>812500</v>
      </c>
      <c r="E695" s="1044">
        <v>812500</v>
      </c>
      <c r="F695" s="1044">
        <v>0</v>
      </c>
    </row>
    <row r="696" spans="1:6" x14ac:dyDescent="0.25">
      <c r="A696" s="843" t="s">
        <v>1111</v>
      </c>
      <c r="B696" s="1043"/>
      <c r="C696" s="1043"/>
      <c r="D696" s="1044"/>
      <c r="E696" s="1044"/>
      <c r="F696" s="1044"/>
    </row>
    <row r="697" spans="1:6" x14ac:dyDescent="0.25">
      <c r="A697" s="843" t="s">
        <v>1112</v>
      </c>
      <c r="B697" s="1043"/>
      <c r="C697" s="1043"/>
      <c r="D697" s="1044"/>
      <c r="E697" s="1044"/>
      <c r="F697" s="1044"/>
    </row>
    <row r="698" spans="1:6" ht="30" x14ac:dyDescent="0.25">
      <c r="A698" s="843" t="s">
        <v>1113</v>
      </c>
      <c r="B698" s="1043">
        <v>41921</v>
      </c>
      <c r="C698" s="1043">
        <v>42116</v>
      </c>
      <c r="D698" s="1044">
        <v>818527824</v>
      </c>
      <c r="E698" s="1044">
        <v>800790708</v>
      </c>
      <c r="F698" s="1044">
        <v>17737116</v>
      </c>
    </row>
    <row r="699" spans="1:6" x14ac:dyDescent="0.25">
      <c r="A699" s="843" t="s">
        <v>1117</v>
      </c>
      <c r="B699" s="1043"/>
      <c r="C699" s="1043"/>
      <c r="D699" s="1044"/>
      <c r="E699" s="1044"/>
      <c r="F699" s="1044"/>
    </row>
    <row r="700" spans="1:6" x14ac:dyDescent="0.25">
      <c r="A700" s="843" t="s">
        <v>1118</v>
      </c>
      <c r="B700" s="1043"/>
      <c r="C700" s="1043"/>
      <c r="D700" s="1044"/>
      <c r="E700" s="1044"/>
      <c r="F700" s="1044"/>
    </row>
    <row r="701" spans="1:6" ht="45" x14ac:dyDescent="0.25">
      <c r="A701" s="843" t="s">
        <v>1119</v>
      </c>
      <c r="B701" s="1043">
        <v>41929</v>
      </c>
      <c r="C701" s="1043">
        <v>42369</v>
      </c>
      <c r="D701" s="1044">
        <v>75520000</v>
      </c>
      <c r="E701" s="1044">
        <v>75519999</v>
      </c>
      <c r="F701" s="1044">
        <v>1</v>
      </c>
    </row>
    <row r="702" spans="1:6" x14ac:dyDescent="0.25">
      <c r="A702" s="843" t="s">
        <v>1163</v>
      </c>
      <c r="B702" s="1043"/>
      <c r="C702" s="1043"/>
      <c r="D702" s="1044"/>
      <c r="E702" s="1044"/>
      <c r="F702" s="1044"/>
    </row>
    <row r="703" spans="1:6" x14ac:dyDescent="0.25">
      <c r="A703" s="843" t="s">
        <v>1164</v>
      </c>
      <c r="B703" s="1043"/>
      <c r="C703" s="1043"/>
      <c r="D703" s="1044"/>
      <c r="E703" s="1044"/>
      <c r="F703" s="1044"/>
    </row>
    <row r="704" spans="1:6" ht="30" x14ac:dyDescent="0.25">
      <c r="A704" s="843" t="s">
        <v>2136</v>
      </c>
      <c r="B704" s="1043">
        <v>41936</v>
      </c>
      <c r="C704" s="1043">
        <v>42301</v>
      </c>
      <c r="D704" s="1044">
        <v>16592327</v>
      </c>
      <c r="E704" s="1044">
        <v>14933095</v>
      </c>
      <c r="F704" s="1044">
        <v>1659232</v>
      </c>
    </row>
    <row r="705" spans="1:6" x14ac:dyDescent="0.25">
      <c r="A705" s="843" t="s">
        <v>1156</v>
      </c>
      <c r="B705" s="1043"/>
      <c r="C705" s="1043"/>
      <c r="D705" s="1044"/>
      <c r="E705" s="1044"/>
      <c r="F705" s="1044"/>
    </row>
    <row r="706" spans="1:6" x14ac:dyDescent="0.25">
      <c r="A706" s="843" t="s">
        <v>33</v>
      </c>
      <c r="B706" s="1043"/>
      <c r="C706" s="1043"/>
      <c r="D706" s="1044"/>
      <c r="E706" s="1044"/>
      <c r="F706" s="1044"/>
    </row>
    <row r="707" spans="1:6" x14ac:dyDescent="0.25">
      <c r="A707" s="843" t="s">
        <v>1157</v>
      </c>
      <c r="B707" s="1043">
        <v>41912</v>
      </c>
      <c r="C707" s="1043">
        <v>42277</v>
      </c>
      <c r="D707" s="1044">
        <v>807000</v>
      </c>
      <c r="E707" s="1044">
        <v>807000</v>
      </c>
      <c r="F707" s="1044">
        <v>0</v>
      </c>
    </row>
    <row r="708" spans="1:6" x14ac:dyDescent="0.25">
      <c r="A708" s="843" t="s">
        <v>1161</v>
      </c>
      <c r="B708" s="1043"/>
      <c r="C708" s="1043"/>
      <c r="D708" s="1044"/>
      <c r="E708" s="1044"/>
      <c r="F708" s="1044"/>
    </row>
    <row r="709" spans="1:6" x14ac:dyDescent="0.25">
      <c r="A709" s="843" t="s">
        <v>1162</v>
      </c>
      <c r="B709" s="1043"/>
      <c r="C709" s="1043"/>
      <c r="D709" s="1044"/>
      <c r="E709" s="1044"/>
      <c r="F709" s="1044"/>
    </row>
    <row r="710" spans="1:6" ht="60" x14ac:dyDescent="0.25">
      <c r="A710" s="843" t="s">
        <v>1772</v>
      </c>
      <c r="B710" s="1043">
        <v>41926</v>
      </c>
      <c r="C710" s="1043">
        <v>42138</v>
      </c>
      <c r="D710" s="1044">
        <v>41850000</v>
      </c>
      <c r="E710" s="1044">
        <v>26363000</v>
      </c>
      <c r="F710" s="1044">
        <v>15487000</v>
      </c>
    </row>
    <row r="711" spans="1:6" x14ac:dyDescent="0.25">
      <c r="A711" s="843" t="s">
        <v>1158</v>
      </c>
      <c r="B711" s="1043"/>
      <c r="C711" s="1043"/>
      <c r="D711" s="1044"/>
      <c r="E711" s="1044"/>
      <c r="F711" s="1044"/>
    </row>
    <row r="712" spans="1:6" x14ac:dyDescent="0.25">
      <c r="A712" s="843" t="s">
        <v>186</v>
      </c>
      <c r="B712" s="1043"/>
      <c r="C712" s="1043"/>
      <c r="D712" s="1044"/>
      <c r="E712" s="1044"/>
      <c r="F712" s="1044"/>
    </row>
    <row r="713" spans="1:6" ht="45" x14ac:dyDescent="0.25">
      <c r="A713" s="843" t="s">
        <v>1317</v>
      </c>
      <c r="B713" s="1043">
        <v>41907</v>
      </c>
      <c r="C713" s="1043">
        <v>41996</v>
      </c>
      <c r="D713" s="1044">
        <v>311460000</v>
      </c>
      <c r="E713" s="1044">
        <v>93438000</v>
      </c>
      <c r="F713" s="1044">
        <v>218022000</v>
      </c>
    </row>
    <row r="714" spans="1:6" x14ac:dyDescent="0.25">
      <c r="A714" s="843" t="s">
        <v>1159</v>
      </c>
      <c r="B714" s="1043"/>
      <c r="C714" s="1043"/>
      <c r="D714" s="1044"/>
      <c r="E714" s="1044"/>
      <c r="F714" s="1044"/>
    </row>
    <row r="715" spans="1:6" x14ac:dyDescent="0.25">
      <c r="A715" s="843" t="s">
        <v>22</v>
      </c>
      <c r="B715" s="1043"/>
      <c r="C715" s="1043"/>
      <c r="D715" s="1044"/>
      <c r="E715" s="1044"/>
      <c r="F715" s="1044"/>
    </row>
    <row r="716" spans="1:6" ht="30" x14ac:dyDescent="0.25">
      <c r="A716" s="843" t="s">
        <v>1160</v>
      </c>
      <c r="B716" s="1043">
        <v>41929</v>
      </c>
      <c r="C716" s="1043">
        <v>42477</v>
      </c>
      <c r="D716" s="1044">
        <v>66816000</v>
      </c>
      <c r="E716" s="1044">
        <v>66816000</v>
      </c>
      <c r="F716" s="1044">
        <v>0</v>
      </c>
    </row>
    <row r="717" spans="1:6" x14ac:dyDescent="0.25">
      <c r="A717" s="843" t="s">
        <v>599</v>
      </c>
      <c r="B717" s="1043"/>
      <c r="C717" s="1043"/>
      <c r="D717" s="1044"/>
      <c r="E717" s="1044"/>
      <c r="F717" s="1044"/>
    </row>
    <row r="718" spans="1:6" x14ac:dyDescent="0.25">
      <c r="A718" s="843" t="s">
        <v>1026</v>
      </c>
      <c r="B718" s="1043"/>
      <c r="C718" s="1043"/>
      <c r="D718" s="1044"/>
      <c r="E718" s="1044"/>
      <c r="F718" s="1044"/>
    </row>
    <row r="719" spans="1:6" ht="45" x14ac:dyDescent="0.25">
      <c r="A719" s="843" t="s">
        <v>461</v>
      </c>
      <c r="B719" s="1043">
        <v>41248</v>
      </c>
      <c r="C719" s="1043">
        <v>41580</v>
      </c>
      <c r="D719" s="1044">
        <v>9037264</v>
      </c>
      <c r="E719" s="1044">
        <v>7492420</v>
      </c>
      <c r="F719" s="1044">
        <v>1544844</v>
      </c>
    </row>
    <row r="720" spans="1:6" x14ac:dyDescent="0.25">
      <c r="A720" s="843" t="s">
        <v>857</v>
      </c>
      <c r="B720" s="1043"/>
      <c r="C720" s="1043"/>
      <c r="D720" s="1044"/>
      <c r="E720" s="1044"/>
      <c r="F720" s="1044"/>
    </row>
    <row r="721" spans="1:6" x14ac:dyDescent="0.25">
      <c r="A721" s="843" t="s">
        <v>1339</v>
      </c>
      <c r="B721" s="1043"/>
      <c r="C721" s="1043"/>
      <c r="D721" s="1044"/>
      <c r="E721" s="1044"/>
      <c r="F721" s="1044"/>
    </row>
    <row r="722" spans="1:6" ht="45" x14ac:dyDescent="0.25">
      <c r="A722" s="843" t="s">
        <v>1340</v>
      </c>
      <c r="B722" s="1043">
        <v>41610</v>
      </c>
      <c r="C722" s="1043">
        <v>41975</v>
      </c>
      <c r="D722" s="1044">
        <v>150000000</v>
      </c>
      <c r="E722" s="1044">
        <v>0</v>
      </c>
      <c r="F722" s="1044">
        <v>150000000</v>
      </c>
    </row>
    <row r="723" spans="1:6" x14ac:dyDescent="0.25">
      <c r="A723" s="843" t="s">
        <v>1330</v>
      </c>
      <c r="B723" s="1043"/>
      <c r="C723" s="1043"/>
      <c r="D723" s="1044"/>
      <c r="E723" s="1044"/>
      <c r="F723" s="1044"/>
    </row>
    <row r="724" spans="1:6" x14ac:dyDescent="0.25">
      <c r="A724" s="843" t="s">
        <v>1020</v>
      </c>
      <c r="B724" s="1043"/>
      <c r="C724" s="1043"/>
      <c r="D724" s="1044"/>
      <c r="E724" s="1044"/>
      <c r="F724" s="1044"/>
    </row>
    <row r="725" spans="1:6" x14ac:dyDescent="0.25">
      <c r="A725" s="843" t="s">
        <v>1331</v>
      </c>
      <c r="B725" s="1043">
        <v>41940</v>
      </c>
      <c r="C725" s="1043">
        <v>42305</v>
      </c>
      <c r="D725" s="1044">
        <v>810000</v>
      </c>
      <c r="E725" s="1044">
        <v>810000</v>
      </c>
      <c r="F725" s="1044">
        <v>0</v>
      </c>
    </row>
    <row r="726" spans="1:6" x14ac:dyDescent="0.25">
      <c r="A726" s="843" t="s">
        <v>1337</v>
      </c>
      <c r="B726" s="1043"/>
      <c r="C726" s="1043"/>
      <c r="D726" s="1044"/>
      <c r="E726" s="1044"/>
      <c r="F726" s="1044"/>
    </row>
    <row r="727" spans="1:6" x14ac:dyDescent="0.25">
      <c r="A727" s="843" t="s">
        <v>203</v>
      </c>
      <c r="B727" s="1043"/>
      <c r="C727" s="1043"/>
      <c r="D727" s="1044"/>
      <c r="E727" s="1044"/>
      <c r="F727" s="1044"/>
    </row>
    <row r="728" spans="1:6" ht="30" x14ac:dyDescent="0.25">
      <c r="A728" s="843" t="s">
        <v>1338</v>
      </c>
      <c r="B728" s="1043">
        <v>41934</v>
      </c>
      <c r="C728" s="1043">
        <v>42085</v>
      </c>
      <c r="D728" s="1044">
        <v>4621440</v>
      </c>
      <c r="E728" s="1044">
        <v>4621440</v>
      </c>
      <c r="F728" s="1044">
        <v>0</v>
      </c>
    </row>
    <row r="729" spans="1:6" x14ac:dyDescent="0.25">
      <c r="A729" s="843" t="s">
        <v>1332</v>
      </c>
      <c r="B729" s="1043"/>
      <c r="C729" s="1043"/>
      <c r="D729" s="1044"/>
      <c r="E729" s="1044"/>
      <c r="F729" s="1044"/>
    </row>
    <row r="730" spans="1:6" x14ac:dyDescent="0.25">
      <c r="A730" s="843" t="s">
        <v>212</v>
      </c>
      <c r="B730" s="1043"/>
      <c r="C730" s="1043"/>
      <c r="D730" s="1044"/>
      <c r="E730" s="1044"/>
      <c r="F730" s="1044"/>
    </row>
    <row r="731" spans="1:6" ht="45" x14ac:dyDescent="0.25">
      <c r="A731" s="843" t="s">
        <v>1333</v>
      </c>
      <c r="B731" s="1043">
        <v>41939</v>
      </c>
      <c r="C731" s="1043">
        <v>41970</v>
      </c>
      <c r="D731" s="1044">
        <v>324800</v>
      </c>
      <c r="E731" s="1044">
        <v>324800</v>
      </c>
      <c r="F731" s="1044">
        <v>0</v>
      </c>
    </row>
    <row r="732" spans="1:6" x14ac:dyDescent="0.25">
      <c r="A732" s="843" t="s">
        <v>1345</v>
      </c>
      <c r="B732" s="1043"/>
      <c r="C732" s="1043"/>
      <c r="D732" s="1044"/>
      <c r="E732" s="1044"/>
      <c r="F732" s="1044"/>
    </row>
    <row r="733" spans="1:6" x14ac:dyDescent="0.25">
      <c r="A733" s="843" t="s">
        <v>1346</v>
      </c>
      <c r="B733" s="1043"/>
      <c r="C733" s="1043"/>
      <c r="D733" s="1044"/>
      <c r="E733" s="1044"/>
      <c r="F733" s="1044"/>
    </row>
    <row r="734" spans="1:6" ht="30" x14ac:dyDescent="0.25">
      <c r="A734" s="843" t="s">
        <v>1347</v>
      </c>
      <c r="B734" s="1043">
        <v>41968</v>
      </c>
      <c r="C734" s="1043">
        <v>42241</v>
      </c>
      <c r="D734" s="1044">
        <v>2459960</v>
      </c>
      <c r="E734" s="1044">
        <v>2457884</v>
      </c>
      <c r="F734" s="1044">
        <v>2076</v>
      </c>
    </row>
    <row r="735" spans="1:6" x14ac:dyDescent="0.25">
      <c r="A735" s="843" t="s">
        <v>1348</v>
      </c>
      <c r="B735" s="1043"/>
      <c r="C735" s="1043"/>
      <c r="D735" s="1044"/>
      <c r="E735" s="1044"/>
      <c r="F735" s="1044"/>
    </row>
    <row r="736" spans="1:6" x14ac:dyDescent="0.25">
      <c r="A736" s="843" t="s">
        <v>1349</v>
      </c>
      <c r="B736" s="1043"/>
      <c r="C736" s="1043"/>
      <c r="D736" s="1044"/>
      <c r="E736" s="1044"/>
      <c r="F736" s="1044"/>
    </row>
    <row r="737" spans="1:6" ht="45" x14ac:dyDescent="0.25">
      <c r="A737" s="843" t="s">
        <v>1350</v>
      </c>
      <c r="B737" s="1043">
        <v>41957</v>
      </c>
      <c r="C737" s="1043">
        <v>42077</v>
      </c>
      <c r="D737" s="1044">
        <v>20188000</v>
      </c>
      <c r="E737" s="1044">
        <v>20188000</v>
      </c>
      <c r="F737" s="1044">
        <v>0</v>
      </c>
    </row>
    <row r="738" spans="1:6" x14ac:dyDescent="0.25">
      <c r="A738" s="843" t="s">
        <v>1352</v>
      </c>
      <c r="B738" s="1043"/>
      <c r="C738" s="1043"/>
      <c r="D738" s="1044"/>
      <c r="E738" s="1044"/>
      <c r="F738" s="1044"/>
    </row>
    <row r="739" spans="1:6" x14ac:dyDescent="0.25">
      <c r="A739" s="843" t="s">
        <v>1353</v>
      </c>
      <c r="B739" s="1043"/>
      <c r="C739" s="1043"/>
      <c r="D739" s="1044"/>
      <c r="E739" s="1044"/>
      <c r="F739" s="1044"/>
    </row>
    <row r="740" spans="1:6" ht="30" x14ac:dyDescent="0.25">
      <c r="A740" s="843" t="s">
        <v>1575</v>
      </c>
      <c r="B740" s="1043">
        <v>41941</v>
      </c>
      <c r="C740" s="1043">
        <v>42184</v>
      </c>
      <c r="D740" s="1044">
        <v>59383678</v>
      </c>
      <c r="E740" s="1044">
        <v>27770152</v>
      </c>
      <c r="F740" s="1044">
        <v>31613526</v>
      </c>
    </row>
    <row r="741" spans="1:6" x14ac:dyDescent="0.25">
      <c r="A741" s="843" t="s">
        <v>1355</v>
      </c>
      <c r="B741" s="1043"/>
      <c r="C741" s="1043"/>
      <c r="D741" s="1044"/>
      <c r="E741" s="1044"/>
      <c r="F741" s="1044"/>
    </row>
    <row r="742" spans="1:6" x14ac:dyDescent="0.25">
      <c r="A742" s="843" t="s">
        <v>27</v>
      </c>
      <c r="B742" s="1043"/>
      <c r="C742" s="1043"/>
      <c r="D742" s="1044"/>
      <c r="E742" s="1044"/>
      <c r="F742" s="1044"/>
    </row>
    <row r="743" spans="1:6" x14ac:dyDescent="0.25">
      <c r="A743" s="843" t="s">
        <v>1356</v>
      </c>
      <c r="B743" s="1043">
        <v>41970</v>
      </c>
      <c r="C743" s="1043">
        <v>42335</v>
      </c>
      <c r="D743" s="1044">
        <v>764100</v>
      </c>
      <c r="E743" s="1044">
        <v>764100</v>
      </c>
      <c r="F743" s="1044">
        <v>0</v>
      </c>
    </row>
    <row r="744" spans="1:6" x14ac:dyDescent="0.25">
      <c r="A744" s="843" t="s">
        <v>2257</v>
      </c>
      <c r="B744" s="1043"/>
      <c r="C744" s="1043"/>
      <c r="D744" s="1044"/>
      <c r="E744" s="1044"/>
      <c r="F744" s="1044"/>
    </row>
    <row r="745" spans="1:6" x14ac:dyDescent="0.25">
      <c r="A745" s="843" t="s">
        <v>3</v>
      </c>
      <c r="B745" s="1043"/>
      <c r="C745" s="1043"/>
      <c r="D745" s="1044"/>
      <c r="E745" s="1044"/>
      <c r="F745" s="1044"/>
    </row>
    <row r="746" spans="1:6" ht="45" x14ac:dyDescent="0.25">
      <c r="A746" s="843" t="s">
        <v>456</v>
      </c>
      <c r="B746" s="1043">
        <v>41163</v>
      </c>
      <c r="C746" s="1043">
        <v>41452</v>
      </c>
      <c r="D746" s="1044">
        <v>315000000</v>
      </c>
      <c r="E746" s="1044">
        <v>314473887</v>
      </c>
      <c r="F746" s="1044">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79" t="s">
        <v>1063</v>
      </c>
      <c r="B4" s="1079"/>
      <c r="C4" s="1079"/>
      <c r="D4" s="1079"/>
      <c r="E4" s="1079"/>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266</v>
      </c>
      <c r="C7" s="123"/>
      <c r="D7" s="123"/>
      <c r="E7" s="124"/>
      <c r="F7" s="121"/>
      <c r="G7" s="121"/>
    </row>
    <row r="8" spans="1:7" s="111" customFormat="1" ht="12.75" thickTop="1" thickBot="1" x14ac:dyDescent="0.25">
      <c r="A8" s="113" t="s">
        <v>1148</v>
      </c>
      <c r="B8" s="120">
        <f>(COUNTA('Base de Datos'!E6:E514))-B7</f>
        <v>243</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9" t="s">
        <v>1057</v>
      </c>
      <c r="B11" s="917" t="s">
        <v>392</v>
      </c>
      <c r="C11" s="123"/>
      <c r="D11" s="123"/>
      <c r="E11" s="124"/>
      <c r="F11" s="121"/>
      <c r="G11" s="121"/>
    </row>
    <row r="12" spans="1:7" s="111" customFormat="1" x14ac:dyDescent="0.2">
      <c r="A12" s="909" t="s">
        <v>1000</v>
      </c>
      <c r="B12" s="918">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7" t="s">
        <v>393</v>
      </c>
      <c r="B14" s="908" t="s">
        <v>1060</v>
      </c>
      <c r="C14" s="911" t="s">
        <v>955</v>
      </c>
      <c r="D14" s="911" t="s">
        <v>957</v>
      </c>
      <c r="E14" s="911" t="s">
        <v>958</v>
      </c>
      <c r="F14" s="912" t="s">
        <v>959</v>
      </c>
      <c r="G14" s="125"/>
    </row>
    <row r="15" spans="1:7" s="111" customFormat="1" x14ac:dyDescent="0.2">
      <c r="A15" s="913" t="s">
        <v>92</v>
      </c>
      <c r="B15" s="916"/>
      <c r="C15" s="910"/>
      <c r="D15" s="910"/>
      <c r="E15" s="910"/>
      <c r="F15" s="914"/>
      <c r="G15" s="121"/>
    </row>
    <row r="16" spans="1:7" s="111" customFormat="1" x14ac:dyDescent="0.2">
      <c r="A16" s="915" t="s">
        <v>425</v>
      </c>
      <c r="B16" s="916">
        <v>41673</v>
      </c>
      <c r="C16" s="910">
        <v>7329236109</v>
      </c>
      <c r="D16" s="910">
        <v>6218260556</v>
      </c>
      <c r="E16" s="910">
        <v>1110975553</v>
      </c>
      <c r="F16" s="914">
        <v>0.84841864329684125</v>
      </c>
      <c r="G16" s="121"/>
    </row>
    <row r="17" spans="1:7" s="111" customFormat="1" x14ac:dyDescent="0.2">
      <c r="A17" s="913" t="s">
        <v>151</v>
      </c>
      <c r="B17" s="916"/>
      <c r="C17" s="910"/>
      <c r="D17" s="910"/>
      <c r="E17" s="910"/>
      <c r="F17" s="914"/>
      <c r="G17" s="121"/>
    </row>
    <row r="18" spans="1:7" s="111" customFormat="1" x14ac:dyDescent="0.2">
      <c r="A18" s="915" t="s">
        <v>152</v>
      </c>
      <c r="B18" s="916">
        <v>41486</v>
      </c>
      <c r="C18" s="910">
        <v>3100400677</v>
      </c>
      <c r="D18" s="910">
        <v>3066561119</v>
      </c>
      <c r="E18" s="910">
        <v>33839558</v>
      </c>
      <c r="F18" s="914">
        <v>0.98908542426434254</v>
      </c>
      <c r="G18" s="121"/>
    </row>
    <row r="19" spans="1:7" s="111" customFormat="1" x14ac:dyDescent="0.2">
      <c r="A19" s="913" t="s">
        <v>149</v>
      </c>
      <c r="B19" s="916"/>
      <c r="C19" s="910"/>
      <c r="D19" s="910"/>
      <c r="E19" s="910"/>
      <c r="F19" s="914"/>
      <c r="G19" s="121"/>
    </row>
    <row r="20" spans="1:7" s="111" customFormat="1" x14ac:dyDescent="0.2">
      <c r="A20" s="915" t="s">
        <v>150</v>
      </c>
      <c r="B20" s="916">
        <v>41476</v>
      </c>
      <c r="C20" s="910">
        <v>2909992591</v>
      </c>
      <c r="D20" s="910">
        <v>13400894</v>
      </c>
      <c r="E20" s="910">
        <v>2896591697</v>
      </c>
      <c r="F20" s="914">
        <v>4.6051299379407939E-3</v>
      </c>
      <c r="G20" s="121"/>
    </row>
    <row r="21" spans="1:7" s="111" customFormat="1" x14ac:dyDescent="0.2">
      <c r="A21" s="913" t="s">
        <v>21</v>
      </c>
      <c r="B21" s="916"/>
      <c r="C21" s="910"/>
      <c r="D21" s="910"/>
      <c r="E21" s="910"/>
      <c r="F21" s="914"/>
      <c r="G21" s="121"/>
    </row>
    <row r="22" spans="1:7" s="111" customFormat="1" x14ac:dyDescent="0.2">
      <c r="A22" s="915" t="s">
        <v>22</v>
      </c>
      <c r="B22" s="916">
        <v>41513</v>
      </c>
      <c r="C22" s="910">
        <v>79634000</v>
      </c>
      <c r="D22" s="910">
        <v>79634000</v>
      </c>
      <c r="E22" s="910">
        <v>0</v>
      </c>
      <c r="F22" s="914">
        <v>1</v>
      </c>
      <c r="G22" s="121"/>
    </row>
    <row r="23" spans="1:7" s="111" customFormat="1" x14ac:dyDescent="0.2">
      <c r="A23" s="913" t="s">
        <v>103</v>
      </c>
      <c r="B23" s="916"/>
      <c r="C23" s="910"/>
      <c r="D23" s="910"/>
      <c r="E23" s="910"/>
      <c r="F23" s="914"/>
      <c r="G23" s="121"/>
    </row>
    <row r="24" spans="1:7" s="111" customFormat="1" x14ac:dyDescent="0.2">
      <c r="A24" s="915" t="s">
        <v>1636</v>
      </c>
      <c r="B24" s="916">
        <v>41274</v>
      </c>
      <c r="C24" s="910">
        <v>4206160</v>
      </c>
      <c r="D24" s="910">
        <v>0</v>
      </c>
      <c r="E24" s="910">
        <v>4206160</v>
      </c>
      <c r="F24" s="914">
        <v>0</v>
      </c>
      <c r="G24" s="121"/>
    </row>
    <row r="25" spans="1:7" s="111" customFormat="1" x14ac:dyDescent="0.2">
      <c r="A25" s="913" t="s">
        <v>179</v>
      </c>
      <c r="B25" s="916"/>
      <c r="C25" s="910"/>
      <c r="D25" s="910"/>
      <c r="E25" s="910"/>
      <c r="F25" s="914"/>
      <c r="G25" s="121"/>
    </row>
    <row r="26" spans="1:7" s="111" customFormat="1" x14ac:dyDescent="0.2">
      <c r="A26" s="915" t="s">
        <v>433</v>
      </c>
      <c r="B26" s="916">
        <v>41609</v>
      </c>
      <c r="C26" s="910">
        <v>726335435</v>
      </c>
      <c r="D26" s="910">
        <v>577978609</v>
      </c>
      <c r="E26" s="910">
        <v>148356826</v>
      </c>
      <c r="F26" s="914">
        <v>0.79574612658130883</v>
      </c>
      <c r="G26" s="121"/>
    </row>
    <row r="27" spans="1:7" s="111" customFormat="1" x14ac:dyDescent="0.2">
      <c r="A27" s="913" t="s">
        <v>180</v>
      </c>
      <c r="B27" s="916"/>
      <c r="C27" s="910"/>
      <c r="D27" s="910"/>
      <c r="E27" s="910"/>
      <c r="F27" s="914"/>
      <c r="G27" s="121"/>
    </row>
    <row r="28" spans="1:7" s="111" customFormat="1" x14ac:dyDescent="0.2">
      <c r="A28" s="915" t="s">
        <v>181</v>
      </c>
      <c r="B28" s="916">
        <v>41323</v>
      </c>
      <c r="C28" s="910">
        <v>234495075</v>
      </c>
      <c r="D28" s="910">
        <v>234495075</v>
      </c>
      <c r="E28" s="910">
        <v>0</v>
      </c>
      <c r="F28" s="914">
        <v>1</v>
      </c>
      <c r="G28" s="121"/>
    </row>
    <row r="29" spans="1:7" s="111" customFormat="1" x14ac:dyDescent="0.2">
      <c r="A29" s="913" t="s">
        <v>56</v>
      </c>
      <c r="B29" s="916"/>
      <c r="C29" s="910"/>
      <c r="D29" s="910"/>
      <c r="E29" s="910"/>
      <c r="F29" s="914"/>
      <c r="G29" s="121"/>
    </row>
    <row r="30" spans="1:7" s="111" customFormat="1" x14ac:dyDescent="0.2">
      <c r="A30" s="915" t="s">
        <v>57</v>
      </c>
      <c r="B30" s="916">
        <v>41623</v>
      </c>
      <c r="C30" s="910">
        <v>71096157</v>
      </c>
      <c r="D30" s="910">
        <v>71096157</v>
      </c>
      <c r="E30" s="910">
        <v>0</v>
      </c>
      <c r="F30" s="914">
        <v>1</v>
      </c>
      <c r="G30" s="121"/>
    </row>
    <row r="31" spans="1:7" s="111" customFormat="1" x14ac:dyDescent="0.2">
      <c r="A31" s="913" t="s">
        <v>19</v>
      </c>
      <c r="B31" s="916"/>
      <c r="C31" s="910"/>
      <c r="D31" s="910"/>
      <c r="E31" s="910"/>
      <c r="F31" s="914"/>
      <c r="G31" s="121"/>
    </row>
    <row r="32" spans="1:7" s="111" customFormat="1" x14ac:dyDescent="0.2">
      <c r="A32" s="915" t="s">
        <v>20</v>
      </c>
      <c r="B32" s="916">
        <v>41347</v>
      </c>
      <c r="C32" s="910">
        <v>11587500</v>
      </c>
      <c r="D32" s="910">
        <v>10316808</v>
      </c>
      <c r="E32" s="910">
        <v>1270692</v>
      </c>
      <c r="F32" s="914">
        <v>0.8903394174757282</v>
      </c>
      <c r="G32" s="121"/>
    </row>
    <row r="33" spans="1:7" s="111" customFormat="1" x14ac:dyDescent="0.2">
      <c r="A33" s="913" t="s">
        <v>23</v>
      </c>
      <c r="B33" s="916"/>
      <c r="C33" s="910"/>
      <c r="D33" s="910"/>
      <c r="E33" s="910"/>
      <c r="F33" s="914"/>
      <c r="G33" s="121"/>
    </row>
    <row r="34" spans="1:7" s="111" customFormat="1" x14ac:dyDescent="0.2">
      <c r="A34" s="915" t="s">
        <v>27</v>
      </c>
      <c r="B34" s="916">
        <v>41409</v>
      </c>
      <c r="C34" s="910">
        <v>849000</v>
      </c>
      <c r="D34" s="910">
        <v>849000</v>
      </c>
      <c r="E34" s="910">
        <v>0</v>
      </c>
      <c r="F34" s="914">
        <v>1</v>
      </c>
      <c r="G34" s="121"/>
    </row>
    <row r="35" spans="1:7" s="111" customFormat="1" x14ac:dyDescent="0.2">
      <c r="A35" s="913" t="s">
        <v>113</v>
      </c>
      <c r="B35" s="916"/>
      <c r="C35" s="910"/>
      <c r="D35" s="910"/>
      <c r="E35" s="910"/>
      <c r="F35" s="914"/>
      <c r="G35" s="121"/>
    </row>
    <row r="36" spans="1:7" s="111" customFormat="1" x14ac:dyDescent="0.2">
      <c r="A36" s="915" t="s">
        <v>434</v>
      </c>
      <c r="B36" s="916">
        <v>41333</v>
      </c>
      <c r="C36" s="910">
        <v>7192000</v>
      </c>
      <c r="D36" s="910">
        <v>7192000</v>
      </c>
      <c r="E36" s="910">
        <v>0</v>
      </c>
      <c r="F36" s="914">
        <v>1</v>
      </c>
      <c r="G36" s="121"/>
    </row>
    <row r="37" spans="1:7" s="111" customFormat="1" x14ac:dyDescent="0.2">
      <c r="A37" s="913" t="s">
        <v>101</v>
      </c>
      <c r="B37" s="916"/>
      <c r="C37" s="910"/>
      <c r="D37" s="910"/>
      <c r="E37" s="910"/>
      <c r="F37" s="914"/>
      <c r="G37" s="121"/>
    </row>
    <row r="38" spans="1:7" s="111" customFormat="1" x14ac:dyDescent="0.2">
      <c r="A38" s="915" t="s">
        <v>427</v>
      </c>
      <c r="B38" s="916">
        <v>41370</v>
      </c>
      <c r="C38" s="910">
        <v>2625000</v>
      </c>
      <c r="D38" s="910">
        <v>0</v>
      </c>
      <c r="E38" s="910">
        <v>2625000</v>
      </c>
      <c r="F38" s="914">
        <v>0</v>
      </c>
      <c r="G38" s="121"/>
    </row>
    <row r="39" spans="1:7" s="111" customFormat="1" x14ac:dyDescent="0.2">
      <c r="A39" s="913" t="s">
        <v>16</v>
      </c>
      <c r="B39" s="916"/>
      <c r="C39" s="910"/>
      <c r="D39" s="910"/>
      <c r="E39" s="910"/>
      <c r="F39" s="914"/>
      <c r="G39" s="121"/>
    </row>
    <row r="40" spans="1:7" s="111" customFormat="1" x14ac:dyDescent="0.2">
      <c r="A40" s="915" t="s">
        <v>435</v>
      </c>
      <c r="B40" s="916">
        <v>41328</v>
      </c>
      <c r="C40" s="910">
        <v>4839200</v>
      </c>
      <c r="D40" s="910">
        <v>4839200</v>
      </c>
      <c r="E40" s="910">
        <v>0</v>
      </c>
      <c r="F40" s="914">
        <v>1</v>
      </c>
      <c r="G40" s="121"/>
    </row>
    <row r="41" spans="1:7" s="111" customFormat="1" x14ac:dyDescent="0.2">
      <c r="A41" s="913" t="s">
        <v>107</v>
      </c>
      <c r="B41" s="916"/>
      <c r="C41" s="910"/>
      <c r="D41" s="910"/>
      <c r="E41" s="910"/>
      <c r="F41" s="914"/>
      <c r="G41" s="121"/>
    </row>
    <row r="42" spans="1:7" s="111" customFormat="1" x14ac:dyDescent="0.2">
      <c r="A42" s="915" t="s">
        <v>108</v>
      </c>
      <c r="B42" s="916">
        <v>41349</v>
      </c>
      <c r="C42" s="910">
        <v>13527752</v>
      </c>
      <c r="D42" s="910">
        <v>0</v>
      </c>
      <c r="E42" s="910">
        <v>13527752</v>
      </c>
      <c r="F42" s="914">
        <v>0</v>
      </c>
      <c r="G42" s="121"/>
    </row>
    <row r="43" spans="1:7" s="111" customFormat="1" x14ac:dyDescent="0.2">
      <c r="A43" s="913" t="s">
        <v>61</v>
      </c>
      <c r="B43" s="916"/>
      <c r="C43" s="910"/>
      <c r="D43" s="910"/>
      <c r="E43" s="910"/>
      <c r="F43" s="914"/>
      <c r="G43" s="121"/>
    </row>
    <row r="44" spans="1:7" s="111" customFormat="1" x14ac:dyDescent="0.2">
      <c r="A44" s="915" t="s">
        <v>436</v>
      </c>
      <c r="B44" s="916">
        <v>41531</v>
      </c>
      <c r="C44" s="910">
        <v>85219000</v>
      </c>
      <c r="D44" s="910">
        <v>95321355</v>
      </c>
      <c r="E44" s="910">
        <v>-10102355</v>
      </c>
      <c r="F44" s="914">
        <v>1.1185458055128552</v>
      </c>
      <c r="G44" s="121"/>
    </row>
    <row r="45" spans="1:7" s="111" customFormat="1" x14ac:dyDescent="0.2">
      <c r="A45" s="913" t="s">
        <v>58</v>
      </c>
      <c r="B45" s="916"/>
      <c r="C45" s="910"/>
      <c r="D45" s="910"/>
      <c r="E45" s="910"/>
      <c r="F45" s="914"/>
      <c r="G45" s="121"/>
    </row>
    <row r="46" spans="1:7" s="111" customFormat="1" x14ac:dyDescent="0.2">
      <c r="A46" s="915" t="s">
        <v>437</v>
      </c>
      <c r="B46" s="916">
        <v>41623</v>
      </c>
      <c r="C46" s="910">
        <v>99122327</v>
      </c>
      <c r="D46" s="910">
        <v>93840542</v>
      </c>
      <c r="E46" s="910">
        <v>5281785</v>
      </c>
      <c r="F46" s="914">
        <v>0.94671447735483449</v>
      </c>
      <c r="G46" s="121"/>
    </row>
    <row r="47" spans="1:7" s="111" customFormat="1" x14ac:dyDescent="0.2">
      <c r="A47" s="913" t="s">
        <v>423</v>
      </c>
      <c r="B47" s="916"/>
      <c r="C47" s="910"/>
      <c r="D47" s="910"/>
      <c r="E47" s="910"/>
      <c r="F47" s="914"/>
      <c r="G47" s="121"/>
    </row>
    <row r="48" spans="1:7" s="111" customFormat="1" x14ac:dyDescent="0.2">
      <c r="A48" s="915" t="s">
        <v>13</v>
      </c>
      <c r="B48" s="916">
        <v>41527</v>
      </c>
      <c r="C48" s="910">
        <v>900000</v>
      </c>
      <c r="D48" s="910">
        <v>900000</v>
      </c>
      <c r="E48" s="910">
        <v>0</v>
      </c>
      <c r="F48" s="914">
        <v>1</v>
      </c>
      <c r="G48" s="121"/>
    </row>
    <row r="49" spans="1:7" s="111" customFormat="1" x14ac:dyDescent="0.2">
      <c r="A49" s="913" t="s">
        <v>28</v>
      </c>
      <c r="B49" s="916"/>
      <c r="C49" s="910"/>
      <c r="D49" s="910"/>
      <c r="E49" s="910"/>
      <c r="F49" s="914"/>
      <c r="G49" s="121"/>
    </row>
    <row r="50" spans="1:7" s="111" customFormat="1" x14ac:dyDescent="0.2">
      <c r="A50" s="915" t="s">
        <v>29</v>
      </c>
      <c r="B50" s="916">
        <v>41530</v>
      </c>
      <c r="C50" s="910">
        <v>840000</v>
      </c>
      <c r="D50" s="910">
        <v>840000</v>
      </c>
      <c r="E50" s="910">
        <v>0</v>
      </c>
      <c r="F50" s="914">
        <v>1</v>
      </c>
      <c r="G50" s="121"/>
    </row>
    <row r="51" spans="1:7" s="111" customFormat="1" x14ac:dyDescent="0.2">
      <c r="A51" s="913" t="s">
        <v>32</v>
      </c>
      <c r="B51" s="916"/>
      <c r="C51" s="910"/>
      <c r="D51" s="910"/>
      <c r="E51" s="910"/>
      <c r="F51" s="914"/>
      <c r="G51" s="121"/>
    </row>
    <row r="52" spans="1:7" s="111" customFormat="1" x14ac:dyDescent="0.2">
      <c r="A52" s="915" t="s">
        <v>33</v>
      </c>
      <c r="B52" s="916">
        <v>41545</v>
      </c>
      <c r="C52" s="910">
        <v>795000</v>
      </c>
      <c r="D52" s="910">
        <v>795000</v>
      </c>
      <c r="E52" s="910">
        <v>0</v>
      </c>
      <c r="F52" s="914">
        <v>1</v>
      </c>
      <c r="G52" s="121"/>
    </row>
    <row r="53" spans="1:7" s="111" customFormat="1" x14ac:dyDescent="0.2">
      <c r="A53" s="913" t="s">
        <v>109</v>
      </c>
      <c r="B53" s="916"/>
      <c r="C53" s="910"/>
      <c r="D53" s="910"/>
      <c r="E53" s="910"/>
      <c r="F53" s="914"/>
      <c r="G53" s="121"/>
    </row>
    <row r="54" spans="1:7" s="111" customFormat="1" x14ac:dyDescent="0.2">
      <c r="A54" s="915" t="s">
        <v>420</v>
      </c>
      <c r="B54" s="916">
        <v>41346</v>
      </c>
      <c r="C54" s="910">
        <v>1818000</v>
      </c>
      <c r="D54" s="910">
        <v>0</v>
      </c>
      <c r="E54" s="910">
        <v>1818000</v>
      </c>
      <c r="F54" s="914">
        <v>0</v>
      </c>
      <c r="G54" s="121"/>
    </row>
    <row r="55" spans="1:7" s="111" customFormat="1" x14ac:dyDescent="0.2">
      <c r="A55" s="913" t="s">
        <v>34</v>
      </c>
      <c r="B55" s="916"/>
      <c r="C55" s="910"/>
      <c r="D55" s="910"/>
      <c r="E55" s="910"/>
      <c r="F55" s="914"/>
      <c r="G55" s="121"/>
    </row>
    <row r="56" spans="1:7" s="111" customFormat="1" x14ac:dyDescent="0.2">
      <c r="A56" s="915" t="s">
        <v>1009</v>
      </c>
      <c r="B56" s="916">
        <v>41333</v>
      </c>
      <c r="C56" s="910">
        <v>30000000</v>
      </c>
      <c r="D56" s="910">
        <v>30000000</v>
      </c>
      <c r="E56" s="910">
        <v>0</v>
      </c>
      <c r="F56" s="914">
        <v>1</v>
      </c>
      <c r="G56" s="121"/>
    </row>
    <row r="57" spans="1:7" s="111" customFormat="1" x14ac:dyDescent="0.2">
      <c r="A57" s="913" t="s">
        <v>10</v>
      </c>
      <c r="B57" s="916"/>
      <c r="C57" s="910"/>
      <c r="D57" s="910"/>
      <c r="E57" s="910"/>
      <c r="F57" s="914"/>
      <c r="G57" s="121"/>
    </row>
    <row r="58" spans="1:7" s="111" customFormat="1" x14ac:dyDescent="0.2">
      <c r="A58" s="915" t="s">
        <v>1010</v>
      </c>
      <c r="B58" s="916">
        <v>41367</v>
      </c>
      <c r="C58" s="910">
        <v>35000000</v>
      </c>
      <c r="D58" s="910">
        <v>34666667</v>
      </c>
      <c r="E58" s="910">
        <v>333333</v>
      </c>
      <c r="F58" s="914">
        <v>0.99047620000000003</v>
      </c>
      <c r="G58" s="121"/>
    </row>
    <row r="59" spans="1:7" s="111" customFormat="1" x14ac:dyDescent="0.2">
      <c r="A59" s="913" t="s">
        <v>114</v>
      </c>
      <c r="B59" s="916"/>
      <c r="C59" s="910"/>
      <c r="D59" s="910"/>
      <c r="E59" s="910"/>
      <c r="F59" s="914"/>
      <c r="G59" s="121"/>
    </row>
    <row r="60" spans="1:7" s="111" customFormat="1" x14ac:dyDescent="0.2">
      <c r="A60" s="915" t="s">
        <v>115</v>
      </c>
      <c r="B60" s="916">
        <v>41626</v>
      </c>
      <c r="C60" s="910">
        <v>8334226</v>
      </c>
      <c r="D60" s="910">
        <v>8334226</v>
      </c>
      <c r="E60" s="910">
        <v>0</v>
      </c>
      <c r="F60" s="914">
        <v>1</v>
      </c>
      <c r="G60" s="121"/>
    </row>
    <row r="61" spans="1:7" s="111" customFormat="1" x14ac:dyDescent="0.2">
      <c r="A61" s="913" t="s">
        <v>106</v>
      </c>
      <c r="B61" s="916"/>
      <c r="C61" s="910"/>
      <c r="D61" s="910"/>
      <c r="E61" s="910"/>
      <c r="F61" s="914"/>
      <c r="G61" s="121"/>
    </row>
    <row r="62" spans="1:7" s="111" customFormat="1" x14ac:dyDescent="0.2">
      <c r="A62" s="915" t="s">
        <v>1011</v>
      </c>
      <c r="B62" s="916">
        <v>41343</v>
      </c>
      <c r="C62" s="910">
        <v>20565000</v>
      </c>
      <c r="D62" s="910">
        <v>20565000</v>
      </c>
      <c r="E62" s="910">
        <v>0</v>
      </c>
      <c r="F62" s="914">
        <v>1</v>
      </c>
      <c r="G62" s="121"/>
    </row>
    <row r="63" spans="1:7" s="111" customFormat="1" x14ac:dyDescent="0.2">
      <c r="A63" s="913" t="s">
        <v>105</v>
      </c>
      <c r="B63" s="916"/>
      <c r="C63" s="910"/>
      <c r="D63" s="910"/>
      <c r="E63" s="910"/>
      <c r="F63" s="914"/>
      <c r="G63" s="121"/>
    </row>
    <row r="64" spans="1:7" s="111" customFormat="1" x14ac:dyDescent="0.2">
      <c r="A64" s="915" t="s">
        <v>1012</v>
      </c>
      <c r="B64" s="916">
        <v>41263</v>
      </c>
      <c r="C64" s="910">
        <v>6730000</v>
      </c>
      <c r="D64" s="910">
        <v>6395000</v>
      </c>
      <c r="E64" s="910">
        <v>335000</v>
      </c>
      <c r="F64" s="914">
        <v>0.95022288261515597</v>
      </c>
      <c r="G64" s="121"/>
    </row>
    <row r="65" spans="1:7" s="111" customFormat="1" x14ac:dyDescent="0.2">
      <c r="A65" s="913" t="s">
        <v>17</v>
      </c>
      <c r="B65" s="916"/>
      <c r="C65" s="910"/>
      <c r="D65" s="910"/>
      <c r="E65" s="910"/>
      <c r="F65" s="914"/>
      <c r="G65" s="121"/>
    </row>
    <row r="66" spans="1:7" s="111" customFormat="1" x14ac:dyDescent="0.2">
      <c r="A66" s="915" t="s">
        <v>18</v>
      </c>
      <c r="B66" s="916">
        <v>41387</v>
      </c>
      <c r="C66" s="910">
        <v>23994880</v>
      </c>
      <c r="D66" s="910">
        <v>23994876</v>
      </c>
      <c r="E66" s="910">
        <v>4</v>
      </c>
      <c r="F66" s="914">
        <v>0.9999998332977702</v>
      </c>
      <c r="G66" s="121"/>
    </row>
    <row r="67" spans="1:7" s="111" customFormat="1" x14ac:dyDescent="0.2">
      <c r="A67" s="913" t="s">
        <v>24</v>
      </c>
      <c r="B67" s="916"/>
      <c r="C67" s="910"/>
      <c r="D67" s="910"/>
      <c r="E67" s="910"/>
      <c r="F67" s="914"/>
      <c r="G67" s="121"/>
    </row>
    <row r="68" spans="1:7" s="111" customFormat="1" x14ac:dyDescent="0.2">
      <c r="A68" s="915" t="s">
        <v>1013</v>
      </c>
      <c r="B68" s="916">
        <v>41369</v>
      </c>
      <c r="C68" s="910">
        <v>38400000</v>
      </c>
      <c r="D68" s="910">
        <v>38400000</v>
      </c>
      <c r="E68" s="910">
        <v>0</v>
      </c>
      <c r="F68" s="914">
        <v>1</v>
      </c>
      <c r="G68" s="121"/>
    </row>
    <row r="69" spans="1:7" s="111" customFormat="1" x14ac:dyDescent="0.2">
      <c r="A69" s="913" t="s">
        <v>118</v>
      </c>
      <c r="B69" s="916"/>
      <c r="C69" s="910"/>
      <c r="D69" s="910"/>
      <c r="E69" s="910"/>
      <c r="F69" s="914"/>
      <c r="G69" s="121"/>
    </row>
    <row r="70" spans="1:7" s="111" customFormat="1" x14ac:dyDescent="0.2">
      <c r="A70" s="915" t="s">
        <v>1014</v>
      </c>
      <c r="B70" s="916">
        <v>41308</v>
      </c>
      <c r="C70" s="910">
        <v>3961330</v>
      </c>
      <c r="D70" s="910">
        <v>3961330</v>
      </c>
      <c r="E70" s="910">
        <v>0</v>
      </c>
      <c r="F70" s="914">
        <v>1</v>
      </c>
      <c r="G70" s="121"/>
    </row>
    <row r="71" spans="1:7" s="111" customFormat="1" x14ac:dyDescent="0.2">
      <c r="A71" s="913" t="s">
        <v>62</v>
      </c>
      <c r="B71" s="916"/>
      <c r="C71" s="910"/>
      <c r="D71" s="910"/>
      <c r="E71" s="910"/>
      <c r="F71" s="914"/>
      <c r="G71" s="121"/>
    </row>
    <row r="72" spans="1:7" s="111" customFormat="1" x14ac:dyDescent="0.2">
      <c r="A72" s="915" t="s">
        <v>1015</v>
      </c>
      <c r="B72" s="916">
        <v>41452</v>
      </c>
      <c r="C72" s="910">
        <v>24000000</v>
      </c>
      <c r="D72" s="910">
        <v>24000000</v>
      </c>
      <c r="E72" s="910">
        <v>0</v>
      </c>
      <c r="F72" s="914">
        <v>1</v>
      </c>
      <c r="G72" s="121"/>
    </row>
    <row r="73" spans="1:7" s="111" customFormat="1" x14ac:dyDescent="0.2">
      <c r="A73" s="913" t="s">
        <v>30</v>
      </c>
      <c r="B73" s="916"/>
      <c r="C73" s="910"/>
      <c r="D73" s="910"/>
      <c r="E73" s="910"/>
      <c r="F73" s="914"/>
      <c r="G73" s="121"/>
    </row>
    <row r="74" spans="1:7" s="111" customFormat="1" x14ac:dyDescent="0.2">
      <c r="A74" s="915" t="s">
        <v>31</v>
      </c>
      <c r="B74" s="916">
        <v>41350</v>
      </c>
      <c r="C74" s="910">
        <v>6000000</v>
      </c>
      <c r="D74" s="910">
        <v>6000000</v>
      </c>
      <c r="E74" s="910">
        <v>0</v>
      </c>
      <c r="F74" s="914">
        <v>1</v>
      </c>
      <c r="G74" s="121"/>
    </row>
    <row r="75" spans="1:7" s="111" customFormat="1" x14ac:dyDescent="0.2">
      <c r="A75" s="913" t="s">
        <v>14</v>
      </c>
      <c r="B75" s="916"/>
      <c r="C75" s="910"/>
      <c r="D75" s="910"/>
      <c r="E75" s="910"/>
      <c r="F75" s="914"/>
      <c r="G75" s="121"/>
    </row>
    <row r="76" spans="1:7" s="111" customFormat="1" x14ac:dyDescent="0.2">
      <c r="A76" s="915" t="s">
        <v>15</v>
      </c>
      <c r="B76" s="916">
        <v>41472</v>
      </c>
      <c r="C76" s="910">
        <v>7740000</v>
      </c>
      <c r="D76" s="910">
        <v>7740000</v>
      </c>
      <c r="E76" s="910">
        <v>0</v>
      </c>
      <c r="F76" s="914">
        <v>1</v>
      </c>
      <c r="G76" s="121"/>
    </row>
    <row r="77" spans="1:7" s="111" customFormat="1" x14ac:dyDescent="0.2">
      <c r="A77" s="913" t="s">
        <v>40</v>
      </c>
      <c r="B77" s="916"/>
      <c r="C77" s="910"/>
      <c r="D77" s="910"/>
      <c r="E77" s="910"/>
      <c r="F77" s="914"/>
      <c r="G77" s="121"/>
    </row>
    <row r="78" spans="1:7" s="111" customFormat="1" x14ac:dyDescent="0.2">
      <c r="A78" s="915" t="s">
        <v>41</v>
      </c>
      <c r="B78" s="916">
        <v>41398</v>
      </c>
      <c r="C78" s="910">
        <v>47000000</v>
      </c>
      <c r="D78" s="910">
        <v>41245000</v>
      </c>
      <c r="E78" s="910">
        <v>5755000</v>
      </c>
      <c r="F78" s="914">
        <v>0.87755319148936173</v>
      </c>
      <c r="G78" s="121"/>
    </row>
    <row r="79" spans="1:7" s="111" customFormat="1" x14ac:dyDescent="0.2">
      <c r="A79" s="913" t="s">
        <v>72</v>
      </c>
      <c r="B79" s="916"/>
      <c r="C79" s="910"/>
      <c r="D79" s="910"/>
      <c r="E79" s="910"/>
      <c r="F79" s="914"/>
      <c r="G79" s="121"/>
    </row>
    <row r="80" spans="1:7" s="111" customFormat="1" x14ac:dyDescent="0.2">
      <c r="A80" s="915" t="s">
        <v>73</v>
      </c>
      <c r="B80" s="916">
        <v>41400</v>
      </c>
      <c r="C80" s="910">
        <v>950000000</v>
      </c>
      <c r="D80" s="910">
        <v>950000000</v>
      </c>
      <c r="E80" s="910">
        <v>0</v>
      </c>
      <c r="F80" s="914">
        <v>1</v>
      </c>
      <c r="G80" s="121"/>
    </row>
    <row r="81" spans="1:7" s="111" customFormat="1" x14ac:dyDescent="0.2">
      <c r="A81" s="913" t="s">
        <v>396</v>
      </c>
      <c r="B81" s="916"/>
      <c r="C81" s="910"/>
      <c r="D81" s="910"/>
      <c r="E81" s="910"/>
      <c r="F81" s="914"/>
      <c r="G81" s="121"/>
    </row>
    <row r="82" spans="1:7" s="111" customFormat="1" x14ac:dyDescent="0.2">
      <c r="A82" s="915" t="s">
        <v>203</v>
      </c>
      <c r="B82" s="916">
        <v>41312</v>
      </c>
      <c r="C82" s="910">
        <v>10440000</v>
      </c>
      <c r="D82" s="910">
        <v>10440000</v>
      </c>
      <c r="E82" s="910">
        <v>0</v>
      </c>
      <c r="F82" s="914">
        <v>1</v>
      </c>
      <c r="G82" s="121"/>
    </row>
    <row r="83" spans="1:7" s="111" customFormat="1" x14ac:dyDescent="0.2">
      <c r="A83" s="913" t="s">
        <v>153</v>
      </c>
      <c r="B83" s="916"/>
      <c r="C83" s="910"/>
      <c r="D83" s="910"/>
      <c r="E83" s="910"/>
      <c r="F83" s="914"/>
      <c r="G83" s="121"/>
    </row>
    <row r="84" spans="1:7" s="111" customFormat="1" x14ac:dyDescent="0.2">
      <c r="A84" s="915" t="s">
        <v>154</v>
      </c>
      <c r="B84" s="916">
        <v>41213</v>
      </c>
      <c r="C84" s="910">
        <v>41705635</v>
      </c>
      <c r="D84" s="910">
        <v>41705635</v>
      </c>
      <c r="E84" s="910">
        <v>0</v>
      </c>
      <c r="F84" s="914">
        <v>1</v>
      </c>
      <c r="G84" s="121"/>
    </row>
    <row r="85" spans="1:7" s="111" customFormat="1" x14ac:dyDescent="0.2">
      <c r="A85" s="913" t="s">
        <v>170</v>
      </c>
      <c r="B85" s="916"/>
      <c r="C85" s="910"/>
      <c r="D85" s="910"/>
      <c r="E85" s="910"/>
      <c r="F85" s="914"/>
      <c r="G85" s="121"/>
    </row>
    <row r="86" spans="1:7" s="111" customFormat="1" x14ac:dyDescent="0.2">
      <c r="A86" s="915" t="s">
        <v>428</v>
      </c>
      <c r="B86" s="916">
        <v>41112</v>
      </c>
      <c r="C86" s="910">
        <v>497000000</v>
      </c>
      <c r="D86" s="910">
        <v>495932967</v>
      </c>
      <c r="E86" s="910">
        <v>1067033</v>
      </c>
      <c r="F86" s="914">
        <v>0.99785305231388333</v>
      </c>
      <c r="G86" s="121"/>
    </row>
    <row r="87" spans="1:7" s="111" customFormat="1" x14ac:dyDescent="0.2">
      <c r="A87" s="913" t="s">
        <v>594</v>
      </c>
      <c r="B87" s="916"/>
      <c r="C87" s="910"/>
      <c r="D87" s="910"/>
      <c r="E87" s="910"/>
      <c r="F87" s="914"/>
      <c r="G87" s="121"/>
    </row>
    <row r="88" spans="1:7" s="111" customFormat="1" x14ac:dyDescent="0.2">
      <c r="A88" s="915" t="s">
        <v>1006</v>
      </c>
      <c r="B88" s="916">
        <v>41356</v>
      </c>
      <c r="C88" s="910">
        <v>9425000</v>
      </c>
      <c r="D88" s="910">
        <v>9425000</v>
      </c>
      <c r="E88" s="910">
        <v>0</v>
      </c>
      <c r="F88" s="914">
        <v>1</v>
      </c>
      <c r="G88" s="121"/>
    </row>
    <row r="89" spans="1:7" s="111" customFormat="1" x14ac:dyDescent="0.2">
      <c r="A89" s="913" t="s">
        <v>127</v>
      </c>
      <c r="B89" s="916"/>
      <c r="C89" s="910"/>
      <c r="D89" s="910"/>
      <c r="E89" s="910"/>
      <c r="F89" s="914"/>
      <c r="G89" s="121"/>
    </row>
    <row r="90" spans="1:7" s="111" customFormat="1" x14ac:dyDescent="0.2">
      <c r="A90" s="915" t="s">
        <v>128</v>
      </c>
      <c r="B90" s="916">
        <v>41364</v>
      </c>
      <c r="C90" s="910">
        <v>22930000</v>
      </c>
      <c r="D90" s="910">
        <v>18432731</v>
      </c>
      <c r="E90" s="910">
        <v>4497269</v>
      </c>
      <c r="F90" s="914">
        <v>0.80386964675098127</v>
      </c>
      <c r="G90" s="121"/>
    </row>
    <row r="91" spans="1:7" s="111" customFormat="1" x14ac:dyDescent="0.2">
      <c r="A91" s="913" t="s">
        <v>59</v>
      </c>
      <c r="B91" s="916"/>
      <c r="C91" s="910"/>
      <c r="D91" s="910"/>
      <c r="E91" s="910"/>
      <c r="F91" s="914"/>
      <c r="G91" s="121"/>
    </row>
    <row r="92" spans="1:7" s="111" customFormat="1" x14ac:dyDescent="0.2">
      <c r="A92" s="915" t="s">
        <v>60</v>
      </c>
      <c r="B92" s="916">
        <v>41471</v>
      </c>
      <c r="C92" s="910">
        <v>4100000</v>
      </c>
      <c r="D92" s="910">
        <v>3389600</v>
      </c>
      <c r="E92" s="910">
        <v>710400</v>
      </c>
      <c r="F92" s="914">
        <v>0.82673170731707313</v>
      </c>
      <c r="G92" s="121"/>
    </row>
    <row r="93" spans="1:7" s="111" customFormat="1" x14ac:dyDescent="0.2">
      <c r="A93" s="913" t="s">
        <v>120</v>
      </c>
      <c r="B93" s="916"/>
      <c r="C93" s="910"/>
      <c r="D93" s="910"/>
      <c r="E93" s="910"/>
      <c r="F93" s="914"/>
      <c r="G93" s="121"/>
    </row>
    <row r="94" spans="1:7" s="111" customFormat="1" x14ac:dyDescent="0.2">
      <c r="A94" s="915" t="s">
        <v>429</v>
      </c>
      <c r="B94" s="916">
        <v>41362</v>
      </c>
      <c r="C94" s="910">
        <v>20044800</v>
      </c>
      <c r="D94" s="910">
        <v>20044800</v>
      </c>
      <c r="E94" s="910">
        <v>0</v>
      </c>
      <c r="F94" s="914">
        <v>1</v>
      </c>
      <c r="G94" s="121"/>
    </row>
    <row r="95" spans="1:7" s="111" customFormat="1" x14ac:dyDescent="0.2">
      <c r="A95" s="913" t="s">
        <v>112</v>
      </c>
      <c r="B95" s="916"/>
      <c r="C95" s="910"/>
      <c r="D95" s="910"/>
      <c r="E95" s="910"/>
      <c r="F95" s="914"/>
      <c r="G95" s="121"/>
    </row>
    <row r="96" spans="1:7" s="111" customFormat="1" x14ac:dyDescent="0.2">
      <c r="A96" s="915" t="s">
        <v>430</v>
      </c>
      <c r="B96" s="916">
        <v>41323</v>
      </c>
      <c r="C96" s="910">
        <v>9976800</v>
      </c>
      <c r="D96" s="910">
        <v>9976596</v>
      </c>
      <c r="E96" s="910">
        <v>204</v>
      </c>
      <c r="F96" s="914">
        <v>0.99997955256194371</v>
      </c>
      <c r="G96" s="121"/>
    </row>
    <row r="97" spans="1:7" s="111" customFormat="1" x14ac:dyDescent="0.2">
      <c r="A97" s="913" t="s">
        <v>44</v>
      </c>
      <c r="B97" s="916"/>
      <c r="C97" s="910"/>
      <c r="D97" s="910"/>
      <c r="E97" s="910"/>
      <c r="F97" s="914"/>
      <c r="G97" s="121"/>
    </row>
    <row r="98" spans="1:7" s="111" customFormat="1" x14ac:dyDescent="0.2">
      <c r="A98" s="915" t="s">
        <v>1017</v>
      </c>
      <c r="B98" s="916">
        <v>41547</v>
      </c>
      <c r="C98" s="910">
        <v>8932201</v>
      </c>
      <c r="D98" s="910">
        <v>8906668</v>
      </c>
      <c r="E98" s="910">
        <v>25533</v>
      </c>
      <c r="F98" s="914">
        <v>0.99714146602836184</v>
      </c>
      <c r="G98" s="121"/>
    </row>
    <row r="99" spans="1:7" s="111" customFormat="1" x14ac:dyDescent="0.2">
      <c r="A99" s="913" t="s">
        <v>7</v>
      </c>
      <c r="B99" s="916"/>
      <c r="C99" s="910"/>
      <c r="D99" s="910"/>
      <c r="E99" s="910"/>
      <c r="F99" s="914"/>
      <c r="G99" s="121"/>
    </row>
    <row r="100" spans="1:7" s="111" customFormat="1" x14ac:dyDescent="0.2">
      <c r="A100" s="915" t="s">
        <v>8</v>
      </c>
      <c r="B100" s="916">
        <v>41458</v>
      </c>
      <c r="C100" s="910">
        <v>8545000</v>
      </c>
      <c r="D100" s="910">
        <v>4336000</v>
      </c>
      <c r="E100" s="910">
        <v>4209000</v>
      </c>
      <c r="F100" s="914">
        <v>0.50743124634289061</v>
      </c>
      <c r="G100" s="121"/>
    </row>
    <row r="101" spans="1:7" s="111" customFormat="1" x14ac:dyDescent="0.2">
      <c r="A101" s="913" t="s">
        <v>161</v>
      </c>
      <c r="B101" s="916"/>
      <c r="C101" s="910"/>
      <c r="D101" s="910"/>
      <c r="E101" s="910"/>
      <c r="F101" s="914"/>
      <c r="G101" s="121"/>
    </row>
    <row r="102" spans="1:7" s="111" customFormat="1" x14ac:dyDescent="0.2">
      <c r="A102" s="915" t="s">
        <v>162</v>
      </c>
      <c r="B102" s="916">
        <v>40922</v>
      </c>
      <c r="C102" s="910">
        <v>1306508</v>
      </c>
      <c r="D102" s="910">
        <v>1306508</v>
      </c>
      <c r="E102" s="910">
        <v>0</v>
      </c>
      <c r="F102" s="914">
        <v>1</v>
      </c>
      <c r="G102" s="121"/>
    </row>
    <row r="103" spans="1:7" s="111" customFormat="1" x14ac:dyDescent="0.2">
      <c r="A103" s="913" t="s">
        <v>5</v>
      </c>
      <c r="B103" s="916"/>
      <c r="C103" s="910"/>
      <c r="D103" s="910"/>
      <c r="E103" s="910"/>
      <c r="F103" s="914"/>
      <c r="G103" s="121"/>
    </row>
    <row r="104" spans="1:7" s="111" customFormat="1" x14ac:dyDescent="0.2">
      <c r="A104" s="915" t="s">
        <v>431</v>
      </c>
      <c r="B104" s="916">
        <v>41243</v>
      </c>
      <c r="C104" s="910">
        <v>102786079</v>
      </c>
      <c r="D104" s="910">
        <v>84046373</v>
      </c>
      <c r="E104" s="910">
        <v>18739706</v>
      </c>
      <c r="F104" s="914">
        <v>0.81768245094746728</v>
      </c>
      <c r="G104" s="121"/>
    </row>
    <row r="105" spans="1:7" s="111" customFormat="1" x14ac:dyDescent="0.2">
      <c r="A105" s="913" t="s">
        <v>6</v>
      </c>
      <c r="B105" s="916"/>
      <c r="C105" s="910"/>
      <c r="D105" s="910"/>
      <c r="E105" s="910"/>
      <c r="F105" s="914"/>
      <c r="G105" s="121"/>
    </row>
    <row r="106" spans="1:7" s="111" customFormat="1" x14ac:dyDescent="0.2">
      <c r="A106" s="915" t="s">
        <v>1018</v>
      </c>
      <c r="B106" s="916">
        <v>41445</v>
      </c>
      <c r="C106" s="910">
        <v>242578353</v>
      </c>
      <c r="D106" s="910">
        <v>218264339</v>
      </c>
      <c r="E106" s="910">
        <v>24314014</v>
      </c>
      <c r="F106" s="914">
        <v>0.89976841008562702</v>
      </c>
      <c r="G106" s="121"/>
    </row>
    <row r="107" spans="1:7" s="111" customFormat="1" x14ac:dyDescent="0.2">
      <c r="A107" s="913" t="s">
        <v>35</v>
      </c>
      <c r="B107" s="916"/>
      <c r="C107" s="910"/>
      <c r="D107" s="910"/>
      <c r="E107" s="910"/>
      <c r="F107" s="914"/>
      <c r="G107" s="121"/>
    </row>
    <row r="108" spans="1:7" s="111" customFormat="1" x14ac:dyDescent="0.2">
      <c r="A108" s="915" t="s">
        <v>36</v>
      </c>
      <c r="B108" s="916">
        <v>41414</v>
      </c>
      <c r="C108" s="910">
        <v>4493000</v>
      </c>
      <c r="D108" s="910">
        <v>3309000</v>
      </c>
      <c r="E108" s="910">
        <v>1184000</v>
      </c>
      <c r="F108" s="914">
        <v>0.73647896728243933</v>
      </c>
      <c r="G108" s="121"/>
    </row>
    <row r="109" spans="1:7" s="111" customFormat="1" x14ac:dyDescent="0.2">
      <c r="A109" s="913" t="s">
        <v>37</v>
      </c>
      <c r="B109" s="916"/>
      <c r="C109" s="910"/>
      <c r="D109" s="910"/>
      <c r="E109" s="910"/>
      <c r="F109" s="914"/>
      <c r="G109" s="121"/>
    </row>
    <row r="110" spans="1:7" s="111" customFormat="1" x14ac:dyDescent="0.2">
      <c r="A110" s="915" t="s">
        <v>38</v>
      </c>
      <c r="B110" s="916">
        <v>41425</v>
      </c>
      <c r="C110" s="910">
        <v>24726000</v>
      </c>
      <c r="D110" s="910">
        <v>24725958</v>
      </c>
      <c r="E110" s="910">
        <v>42</v>
      </c>
      <c r="F110" s="914">
        <v>0.99999830138315948</v>
      </c>
      <c r="G110" s="121"/>
    </row>
    <row r="111" spans="1:7" s="111" customFormat="1" x14ac:dyDescent="0.2">
      <c r="A111" s="913" t="s">
        <v>9</v>
      </c>
      <c r="B111" s="916"/>
      <c r="C111" s="910"/>
      <c r="D111" s="910"/>
      <c r="E111" s="910"/>
      <c r="F111" s="914"/>
      <c r="G111" s="121"/>
    </row>
    <row r="112" spans="1:7" s="111" customFormat="1" x14ac:dyDescent="0.2">
      <c r="A112" s="915" t="s">
        <v>1019</v>
      </c>
      <c r="B112" s="916">
        <v>41409</v>
      </c>
      <c r="C112" s="910">
        <v>20923575</v>
      </c>
      <c r="D112" s="910">
        <v>19912200</v>
      </c>
      <c r="E112" s="910">
        <v>1011375</v>
      </c>
      <c r="F112" s="914">
        <v>0.95166337492517417</v>
      </c>
      <c r="G112" s="121"/>
    </row>
    <row r="113" spans="1:7" s="111" customFormat="1" x14ac:dyDescent="0.2">
      <c r="A113" s="913" t="s">
        <v>63</v>
      </c>
      <c r="B113" s="916"/>
      <c r="C113" s="910"/>
      <c r="D113" s="910"/>
      <c r="E113" s="910"/>
      <c r="F113" s="914"/>
      <c r="G113" s="121"/>
    </row>
    <row r="114" spans="1:7" s="111" customFormat="1" x14ac:dyDescent="0.2">
      <c r="A114" s="915" t="s">
        <v>64</v>
      </c>
      <c r="B114" s="916">
        <v>41441</v>
      </c>
      <c r="C114" s="910">
        <v>282073266</v>
      </c>
      <c r="D114" s="910">
        <v>282073266</v>
      </c>
      <c r="E114" s="910">
        <v>0</v>
      </c>
      <c r="F114" s="914">
        <v>1</v>
      </c>
      <c r="G114" s="121"/>
    </row>
    <row r="115" spans="1:7" s="111" customFormat="1" x14ac:dyDescent="0.2">
      <c r="A115" s="913" t="s">
        <v>110</v>
      </c>
      <c r="B115" s="916"/>
      <c r="C115" s="910"/>
      <c r="D115" s="910"/>
      <c r="E115" s="910"/>
      <c r="F115" s="914"/>
      <c r="G115" s="121"/>
    </row>
    <row r="116" spans="1:7" s="111" customFormat="1" x14ac:dyDescent="0.2">
      <c r="A116" s="915" t="s">
        <v>111</v>
      </c>
      <c r="B116" s="916">
        <v>41441</v>
      </c>
      <c r="C116" s="910">
        <v>50618751</v>
      </c>
      <c r="D116" s="910">
        <v>50618751</v>
      </c>
      <c r="E116" s="910">
        <v>0</v>
      </c>
      <c r="F116" s="914">
        <v>1</v>
      </c>
      <c r="G116" s="121"/>
    </row>
    <row r="117" spans="1:7" s="111" customFormat="1" x14ac:dyDescent="0.2">
      <c r="A117" s="913" t="s">
        <v>65</v>
      </c>
      <c r="B117" s="916"/>
      <c r="C117" s="910"/>
      <c r="D117" s="910"/>
      <c r="E117" s="910"/>
      <c r="F117" s="914"/>
      <c r="G117" s="121"/>
    </row>
    <row r="118" spans="1:7" s="111" customFormat="1" x14ac:dyDescent="0.2">
      <c r="A118" s="915" t="s">
        <v>66</v>
      </c>
      <c r="B118" s="916">
        <v>41486</v>
      </c>
      <c r="C118" s="910">
        <v>69900000</v>
      </c>
      <c r="D118" s="910">
        <v>69900000</v>
      </c>
      <c r="E118" s="910">
        <v>0</v>
      </c>
      <c r="F118" s="914">
        <v>1</v>
      </c>
      <c r="G118" s="121"/>
    </row>
    <row r="119" spans="1:7" s="111" customFormat="1" x14ac:dyDescent="0.2">
      <c r="A119" s="913" t="s">
        <v>69</v>
      </c>
      <c r="B119" s="916"/>
      <c r="C119" s="910"/>
      <c r="D119" s="910"/>
      <c r="E119" s="910"/>
      <c r="F119" s="914"/>
      <c r="G119" s="121"/>
    </row>
    <row r="120" spans="1:7" s="111" customFormat="1" x14ac:dyDescent="0.2">
      <c r="A120" s="915" t="s">
        <v>77</v>
      </c>
      <c r="B120" s="916">
        <v>41412</v>
      </c>
      <c r="C120" s="910">
        <v>500000000</v>
      </c>
      <c r="D120" s="910">
        <v>500000000</v>
      </c>
      <c r="E120" s="910">
        <v>0</v>
      </c>
      <c r="F120" s="914">
        <v>1</v>
      </c>
      <c r="G120" s="121"/>
    </row>
    <row r="121" spans="1:7" s="111" customFormat="1" x14ac:dyDescent="0.2">
      <c r="A121" s="913" t="s">
        <v>47</v>
      </c>
      <c r="B121" s="916"/>
      <c r="C121" s="910"/>
      <c r="D121" s="910"/>
      <c r="E121" s="910"/>
      <c r="F121" s="914"/>
      <c r="G121" s="121"/>
    </row>
    <row r="122" spans="1:7" s="111" customFormat="1" x14ac:dyDescent="0.2">
      <c r="A122" s="915" t="s">
        <v>48</v>
      </c>
      <c r="B122" s="916">
        <v>41481</v>
      </c>
      <c r="C122" s="910">
        <v>24824832</v>
      </c>
      <c r="D122" s="910">
        <v>24824832</v>
      </c>
      <c r="E122" s="910">
        <v>0</v>
      </c>
      <c r="F122" s="914">
        <v>1</v>
      </c>
      <c r="G122" s="121"/>
    </row>
    <row r="123" spans="1:7" s="111" customFormat="1" x14ac:dyDescent="0.2">
      <c r="A123" s="913" t="s">
        <v>39</v>
      </c>
      <c r="B123" s="916"/>
      <c r="C123" s="910"/>
      <c r="D123" s="910"/>
      <c r="E123" s="910"/>
      <c r="F123" s="914"/>
      <c r="G123" s="121"/>
    </row>
    <row r="124" spans="1:7" s="111" customFormat="1" x14ac:dyDescent="0.2">
      <c r="A124" s="915" t="s">
        <v>1020</v>
      </c>
      <c r="B124" s="916">
        <v>41558</v>
      </c>
      <c r="C124" s="910">
        <v>810000</v>
      </c>
      <c r="D124" s="910">
        <v>810000</v>
      </c>
      <c r="E124" s="910">
        <v>0</v>
      </c>
      <c r="F124" s="914">
        <v>1</v>
      </c>
      <c r="G124" s="121"/>
    </row>
    <row r="125" spans="1:7" s="111" customFormat="1" x14ac:dyDescent="0.2">
      <c r="A125" s="913" t="s">
        <v>49</v>
      </c>
      <c r="B125" s="916"/>
      <c r="C125" s="910"/>
      <c r="D125" s="910"/>
      <c r="E125" s="910"/>
      <c r="F125" s="914"/>
      <c r="G125" s="121"/>
    </row>
    <row r="126" spans="1:7" s="111" customFormat="1" x14ac:dyDescent="0.2">
      <c r="A126" s="915" t="s">
        <v>1021</v>
      </c>
      <c r="B126" s="916">
        <v>41451</v>
      </c>
      <c r="C126" s="910">
        <v>299287875</v>
      </c>
      <c r="D126" s="910">
        <v>160844981</v>
      </c>
      <c r="E126" s="910">
        <v>138442894</v>
      </c>
      <c r="F126" s="914">
        <v>0.53742565080526572</v>
      </c>
      <c r="G126" s="121"/>
    </row>
    <row r="127" spans="1:7" s="111" customFormat="1" x14ac:dyDescent="0.2">
      <c r="A127" s="913" t="s">
        <v>50</v>
      </c>
      <c r="B127" s="916"/>
      <c r="C127" s="910"/>
      <c r="D127" s="910"/>
      <c r="E127" s="910"/>
      <c r="F127" s="914"/>
      <c r="G127" s="121"/>
    </row>
    <row r="128" spans="1:7" s="111" customFormat="1" x14ac:dyDescent="0.2">
      <c r="A128" s="915" t="s">
        <v>1022</v>
      </c>
      <c r="B128" s="916">
        <v>41534</v>
      </c>
      <c r="C128" s="910">
        <v>1392000</v>
      </c>
      <c r="D128" s="910">
        <v>0</v>
      </c>
      <c r="E128" s="910">
        <v>1392000</v>
      </c>
      <c r="F128" s="914">
        <v>0</v>
      </c>
      <c r="G128" s="121"/>
    </row>
    <row r="129" spans="1:7" s="111" customFormat="1" x14ac:dyDescent="0.2">
      <c r="A129" s="913" t="s">
        <v>119</v>
      </c>
      <c r="B129" s="916"/>
      <c r="C129" s="910"/>
      <c r="D129" s="910"/>
      <c r="E129" s="910"/>
      <c r="F129" s="914"/>
      <c r="G129" s="121"/>
    </row>
    <row r="130" spans="1:7" s="111" customFormat="1" x14ac:dyDescent="0.2">
      <c r="A130" s="915" t="s">
        <v>398</v>
      </c>
      <c r="B130" s="916">
        <v>41390</v>
      </c>
      <c r="C130" s="910">
        <v>4056000</v>
      </c>
      <c r="D130" s="910">
        <v>4056000</v>
      </c>
      <c r="E130" s="910">
        <v>0</v>
      </c>
      <c r="F130" s="914">
        <v>1</v>
      </c>
      <c r="G130" s="121"/>
    </row>
    <row r="131" spans="1:7" s="111" customFormat="1" x14ac:dyDescent="0.2">
      <c r="A131" s="913" t="s">
        <v>589</v>
      </c>
      <c r="B131" s="916"/>
      <c r="C131" s="910"/>
      <c r="D131" s="910"/>
      <c r="E131" s="910"/>
      <c r="F131" s="914"/>
      <c r="G131" s="121"/>
    </row>
    <row r="132" spans="1:7" s="111" customFormat="1" x14ac:dyDescent="0.2">
      <c r="A132" s="915" t="s">
        <v>426</v>
      </c>
      <c r="B132" s="916">
        <v>41332</v>
      </c>
      <c r="C132" s="910">
        <v>12835200</v>
      </c>
      <c r="D132" s="910">
        <v>1092200</v>
      </c>
      <c r="E132" s="910">
        <v>11743000</v>
      </c>
      <c r="F132" s="914">
        <v>8.5094116180503609E-2</v>
      </c>
      <c r="G132" s="121"/>
    </row>
    <row r="133" spans="1:7" s="111" customFormat="1" x14ac:dyDescent="0.2">
      <c r="A133" s="913" t="s">
        <v>163</v>
      </c>
      <c r="B133" s="916"/>
      <c r="C133" s="910"/>
      <c r="D133" s="910"/>
      <c r="E133" s="910"/>
      <c r="F133" s="914"/>
      <c r="G133" s="121"/>
    </row>
    <row r="134" spans="1:7" s="111" customFormat="1" x14ac:dyDescent="0.2">
      <c r="A134" s="915" t="s">
        <v>432</v>
      </c>
      <c r="B134" s="916">
        <v>41312</v>
      </c>
      <c r="C134" s="910">
        <v>49376272</v>
      </c>
      <c r="D134" s="910">
        <v>49376272</v>
      </c>
      <c r="E134" s="910">
        <v>0</v>
      </c>
      <c r="F134" s="914">
        <v>1</v>
      </c>
      <c r="G134" s="121"/>
    </row>
    <row r="135" spans="1:7" s="111" customFormat="1" x14ac:dyDescent="0.2">
      <c r="A135" s="913" t="s">
        <v>51</v>
      </c>
      <c r="B135" s="916"/>
      <c r="C135" s="910"/>
      <c r="D135" s="910"/>
      <c r="E135" s="910"/>
      <c r="F135" s="914"/>
      <c r="G135" s="121"/>
    </row>
    <row r="136" spans="1:7" s="111" customFormat="1" x14ac:dyDescent="0.2">
      <c r="A136" s="915" t="s">
        <v>1023</v>
      </c>
      <c r="B136" s="916">
        <v>41579</v>
      </c>
      <c r="C136" s="910">
        <v>526745000</v>
      </c>
      <c r="D136" s="910">
        <v>526745000</v>
      </c>
      <c r="E136" s="910">
        <v>0</v>
      </c>
      <c r="F136" s="914">
        <v>1</v>
      </c>
      <c r="G136" s="121"/>
    </row>
    <row r="137" spans="1:7" s="111" customFormat="1" x14ac:dyDescent="0.2">
      <c r="A137" s="913" t="s">
        <v>597</v>
      </c>
      <c r="B137" s="916"/>
      <c r="C137" s="910"/>
      <c r="D137" s="910"/>
      <c r="E137" s="910"/>
      <c r="F137" s="914"/>
      <c r="G137" s="121"/>
    </row>
    <row r="138" spans="1:7" s="111" customFormat="1" x14ac:dyDescent="0.2">
      <c r="A138" s="915" t="s">
        <v>1024</v>
      </c>
      <c r="B138" s="916">
        <v>41562</v>
      </c>
      <c r="C138" s="910">
        <v>619289880</v>
      </c>
      <c r="D138" s="910">
        <v>619289880</v>
      </c>
      <c r="E138" s="910">
        <v>0</v>
      </c>
      <c r="F138" s="914">
        <v>1</v>
      </c>
      <c r="G138" s="121"/>
    </row>
    <row r="139" spans="1:7" s="111" customFormat="1" x14ac:dyDescent="0.2">
      <c r="A139" s="913" t="s">
        <v>52</v>
      </c>
      <c r="B139" s="916"/>
      <c r="C139" s="910"/>
      <c r="D139" s="910"/>
      <c r="E139" s="910"/>
      <c r="F139" s="914"/>
      <c r="G139" s="121"/>
    </row>
    <row r="140" spans="1:7" s="111" customFormat="1" x14ac:dyDescent="0.2">
      <c r="A140" s="915" t="s">
        <v>53</v>
      </c>
      <c r="B140" s="916">
        <v>41459</v>
      </c>
      <c r="C140" s="910">
        <v>13806000</v>
      </c>
      <c r="D140" s="910">
        <v>12439108</v>
      </c>
      <c r="E140" s="910">
        <v>1366892</v>
      </c>
      <c r="F140" s="914">
        <v>0.90099290163696943</v>
      </c>
      <c r="G140" s="121"/>
    </row>
    <row r="141" spans="1:7" s="111" customFormat="1" x14ac:dyDescent="0.2">
      <c r="A141" s="913" t="s">
        <v>598</v>
      </c>
      <c r="B141" s="916"/>
      <c r="C141" s="910"/>
      <c r="D141" s="910"/>
      <c r="E141" s="910"/>
      <c r="F141" s="914"/>
      <c r="G141" s="121"/>
    </row>
    <row r="142" spans="1:7" s="111" customFormat="1" x14ac:dyDescent="0.2">
      <c r="A142" s="915" t="s">
        <v>1025</v>
      </c>
      <c r="B142" s="916">
        <v>41446</v>
      </c>
      <c r="C142" s="910">
        <v>37359000</v>
      </c>
      <c r="D142" s="910">
        <v>37359000</v>
      </c>
      <c r="E142" s="910">
        <v>0</v>
      </c>
      <c r="F142" s="914">
        <v>1</v>
      </c>
      <c r="G142" s="121"/>
    </row>
    <row r="143" spans="1:7" s="111" customFormat="1" x14ac:dyDescent="0.2">
      <c r="A143" s="913" t="s">
        <v>399</v>
      </c>
      <c r="B143" s="916"/>
      <c r="C143" s="910"/>
      <c r="D143" s="910"/>
      <c r="E143" s="910"/>
      <c r="F143" s="914"/>
      <c r="G143" s="121"/>
    </row>
    <row r="144" spans="1:7" s="111" customFormat="1" x14ac:dyDescent="0.2">
      <c r="A144" s="915" t="s">
        <v>424</v>
      </c>
      <c r="B144" s="916">
        <v>41278</v>
      </c>
      <c r="C144" s="910">
        <v>4452000</v>
      </c>
      <c r="D144" s="910">
        <v>4452000</v>
      </c>
      <c r="E144" s="910">
        <v>0</v>
      </c>
      <c r="F144" s="914">
        <v>1</v>
      </c>
      <c r="G144" s="121"/>
    </row>
    <row r="145" spans="1:7" s="111" customFormat="1" x14ac:dyDescent="0.2">
      <c r="A145" s="913" t="s">
        <v>42</v>
      </c>
      <c r="B145" s="916"/>
      <c r="C145" s="910"/>
      <c r="D145" s="910"/>
      <c r="E145" s="910"/>
      <c r="F145" s="914"/>
      <c r="G145" s="121"/>
    </row>
    <row r="146" spans="1:7" s="111" customFormat="1" x14ac:dyDescent="0.2">
      <c r="A146" s="915" t="s">
        <v>43</v>
      </c>
      <c r="B146" s="916">
        <v>41452</v>
      </c>
      <c r="C146" s="910">
        <v>28420000</v>
      </c>
      <c r="D146" s="910">
        <v>28379400</v>
      </c>
      <c r="E146" s="910">
        <v>40600</v>
      </c>
      <c r="F146" s="914">
        <v>0.99857142857142855</v>
      </c>
      <c r="G146" s="121"/>
    </row>
    <row r="147" spans="1:7" s="111" customFormat="1" x14ac:dyDescent="0.2">
      <c r="A147" s="913" t="s">
        <v>67</v>
      </c>
      <c r="B147" s="916"/>
      <c r="C147" s="910"/>
      <c r="D147" s="910"/>
      <c r="E147" s="910"/>
      <c r="F147" s="914"/>
      <c r="G147" s="121"/>
    </row>
    <row r="148" spans="1:7" s="111" customFormat="1" x14ac:dyDescent="0.2">
      <c r="A148" s="915" t="s">
        <v>68</v>
      </c>
      <c r="B148" s="916">
        <v>41322</v>
      </c>
      <c r="C148" s="910">
        <v>58300000</v>
      </c>
      <c r="D148" s="910">
        <v>58300000</v>
      </c>
      <c r="E148" s="910">
        <v>0</v>
      </c>
      <c r="F148" s="914">
        <v>1</v>
      </c>
      <c r="G148" s="121"/>
    </row>
    <row r="149" spans="1:7" s="111" customFormat="1" x14ac:dyDescent="0.2">
      <c r="A149" s="913" t="s">
        <v>74</v>
      </c>
      <c r="B149" s="916"/>
      <c r="C149" s="910"/>
      <c r="D149" s="910"/>
      <c r="E149" s="910"/>
      <c r="F149" s="914"/>
      <c r="G149" s="121"/>
    </row>
    <row r="150" spans="1:7" s="111" customFormat="1" x14ac:dyDescent="0.2">
      <c r="A150" s="915" t="s">
        <v>75</v>
      </c>
      <c r="B150" s="916">
        <v>41593</v>
      </c>
      <c r="C150" s="910">
        <v>411000000</v>
      </c>
      <c r="D150" s="910">
        <v>411000000</v>
      </c>
      <c r="E150" s="910">
        <v>0</v>
      </c>
      <c r="F150" s="914">
        <v>1</v>
      </c>
      <c r="G150" s="121"/>
    </row>
    <row r="151" spans="1:7" s="111" customFormat="1" x14ac:dyDescent="0.2">
      <c r="A151" s="913" t="s">
        <v>54</v>
      </c>
      <c r="B151" s="916"/>
      <c r="C151" s="910"/>
      <c r="D151" s="910"/>
      <c r="E151" s="910"/>
      <c r="F151" s="914"/>
      <c r="G151" s="121"/>
    </row>
    <row r="152" spans="1:7" s="111" customFormat="1" x14ac:dyDescent="0.2">
      <c r="A152" s="915" t="s">
        <v>55</v>
      </c>
      <c r="B152" s="916">
        <v>41575</v>
      </c>
      <c r="C152" s="910">
        <v>10032000</v>
      </c>
      <c r="D152" s="910">
        <v>9339930</v>
      </c>
      <c r="E152" s="910">
        <v>692070</v>
      </c>
      <c r="F152" s="914">
        <v>0.93101375598086122</v>
      </c>
      <c r="G152" s="121"/>
    </row>
    <row r="153" spans="1:7" s="111" customFormat="1" x14ac:dyDescent="0.2">
      <c r="A153" s="913" t="s">
        <v>11</v>
      </c>
      <c r="B153" s="916"/>
      <c r="C153" s="910"/>
      <c r="D153" s="910"/>
      <c r="E153" s="910"/>
      <c r="F153" s="914"/>
      <c r="G153" s="121"/>
    </row>
    <row r="154" spans="1:7" s="111" customFormat="1" x14ac:dyDescent="0.2">
      <c r="A154" s="915" t="s">
        <v>12</v>
      </c>
      <c r="B154" s="916">
        <v>41711</v>
      </c>
      <c r="C154" s="910">
        <v>1918200</v>
      </c>
      <c r="D154" s="910">
        <v>1755170</v>
      </c>
      <c r="E154" s="910">
        <v>163030</v>
      </c>
      <c r="F154" s="914">
        <v>0.91500886247523716</v>
      </c>
      <c r="G154" s="121"/>
    </row>
    <row r="155" spans="1:7" s="111" customFormat="1" x14ac:dyDescent="0.2">
      <c r="A155" s="913" t="s">
        <v>4</v>
      </c>
      <c r="B155" s="916"/>
      <c r="C155" s="910"/>
      <c r="D155" s="910"/>
      <c r="E155" s="910"/>
      <c r="F155" s="914"/>
      <c r="G155" s="121"/>
    </row>
    <row r="156" spans="1:7" s="111" customFormat="1" x14ac:dyDescent="0.2">
      <c r="A156" s="915" t="s">
        <v>1028</v>
      </c>
      <c r="B156" s="916">
        <v>41608</v>
      </c>
      <c r="C156" s="910">
        <v>79213111</v>
      </c>
      <c r="D156" s="910">
        <v>65129800</v>
      </c>
      <c r="E156" s="910">
        <v>14083311</v>
      </c>
      <c r="F156" s="914">
        <v>0.82220984856913393</v>
      </c>
      <c r="G156" s="121"/>
    </row>
    <row r="157" spans="1:7" s="111" customFormat="1" x14ac:dyDescent="0.2">
      <c r="A157" s="913" t="s">
        <v>71</v>
      </c>
      <c r="B157" s="916"/>
      <c r="C157" s="910"/>
      <c r="D157" s="910"/>
      <c r="E157" s="910"/>
      <c r="F157" s="914"/>
      <c r="G157" s="121"/>
    </row>
    <row r="158" spans="1:7" s="111" customFormat="1" x14ac:dyDescent="0.2">
      <c r="A158" s="915" t="s">
        <v>1029</v>
      </c>
      <c r="B158" s="916">
        <v>41505</v>
      </c>
      <c r="C158" s="910">
        <v>75246412</v>
      </c>
      <c r="D158" s="910">
        <v>75232704</v>
      </c>
      <c r="E158" s="910">
        <v>13708</v>
      </c>
      <c r="F158" s="914">
        <v>0.99981782520075513</v>
      </c>
      <c r="G158" s="121"/>
    </row>
    <row r="159" spans="1:7" s="111" customFormat="1" x14ac:dyDescent="0.2">
      <c r="A159" s="913" t="s">
        <v>45</v>
      </c>
      <c r="B159" s="916"/>
      <c r="C159" s="910"/>
      <c r="D159" s="910"/>
      <c r="E159" s="910"/>
      <c r="F159" s="914"/>
      <c r="G159" s="121"/>
    </row>
    <row r="160" spans="1:7" s="111" customFormat="1" x14ac:dyDescent="0.2">
      <c r="A160" s="915" t="s">
        <v>46</v>
      </c>
      <c r="B160" s="916">
        <v>42052</v>
      </c>
      <c r="C160" s="910">
        <v>1062500</v>
      </c>
      <c r="D160" s="910">
        <v>1062500</v>
      </c>
      <c r="E160" s="910">
        <v>0</v>
      </c>
      <c r="F160" s="914">
        <v>1</v>
      </c>
      <c r="G160" s="121"/>
    </row>
    <row r="161" spans="1:7" s="111" customFormat="1" x14ac:dyDescent="0.2">
      <c r="A161" s="913" t="s">
        <v>25</v>
      </c>
      <c r="B161" s="916"/>
      <c r="C161" s="910"/>
      <c r="D161" s="910"/>
      <c r="E161" s="910"/>
      <c r="F161" s="914"/>
      <c r="G161" s="121"/>
    </row>
    <row r="162" spans="1:7" s="111" customFormat="1" x14ac:dyDescent="0.2">
      <c r="A162" s="915" t="s">
        <v>26</v>
      </c>
      <c r="B162" s="916">
        <v>41736</v>
      </c>
      <c r="C162" s="910">
        <v>115663600</v>
      </c>
      <c r="D162" s="910">
        <v>115663040</v>
      </c>
      <c r="E162" s="910">
        <v>560</v>
      </c>
      <c r="F162" s="914">
        <v>0.99999515837307507</v>
      </c>
      <c r="G162" s="121"/>
    </row>
    <row r="163" spans="1:7" s="111" customFormat="1" x14ac:dyDescent="0.2">
      <c r="A163" s="913" t="s">
        <v>116</v>
      </c>
      <c r="B163" s="916"/>
      <c r="C163" s="910"/>
      <c r="D163" s="910"/>
      <c r="E163" s="910"/>
      <c r="F163" s="914"/>
      <c r="G163" s="121"/>
    </row>
    <row r="164" spans="1:7" s="111" customFormat="1" x14ac:dyDescent="0.2">
      <c r="A164" s="915" t="s">
        <v>418</v>
      </c>
      <c r="B164" s="916">
        <v>41442</v>
      </c>
      <c r="C164" s="910">
        <v>36990000</v>
      </c>
      <c r="D164" s="910">
        <v>36990000</v>
      </c>
      <c r="E164" s="910">
        <v>0</v>
      </c>
      <c r="F164" s="914">
        <v>1</v>
      </c>
      <c r="G164" s="121"/>
    </row>
    <row r="165" spans="1:7" s="111" customFormat="1" x14ac:dyDescent="0.2">
      <c r="A165" s="913" t="s">
        <v>122</v>
      </c>
      <c r="B165" s="916"/>
      <c r="C165" s="910"/>
      <c r="D165" s="910"/>
      <c r="E165" s="910"/>
      <c r="F165" s="914"/>
      <c r="G165" s="121"/>
    </row>
    <row r="166" spans="1:7" s="111" customFormat="1" x14ac:dyDescent="0.2">
      <c r="A166" s="915" t="s">
        <v>244</v>
      </c>
      <c r="B166" s="916">
        <v>41680</v>
      </c>
      <c r="C166" s="910">
        <v>85314724</v>
      </c>
      <c r="D166" s="910">
        <v>85314724</v>
      </c>
      <c r="E166" s="910">
        <v>0</v>
      </c>
      <c r="F166" s="914">
        <v>1</v>
      </c>
      <c r="G166" s="121"/>
    </row>
    <row r="167" spans="1:7" s="111" customFormat="1" x14ac:dyDescent="0.2">
      <c r="A167" s="913" t="s">
        <v>182</v>
      </c>
      <c r="B167" s="916"/>
      <c r="C167" s="910"/>
      <c r="D167" s="910"/>
      <c r="E167" s="910"/>
      <c r="F167" s="914"/>
      <c r="G167" s="121"/>
    </row>
    <row r="168" spans="1:7" s="111" customFormat="1" x14ac:dyDescent="0.2">
      <c r="A168" s="915" t="s">
        <v>152</v>
      </c>
      <c r="B168" s="916">
        <v>41336</v>
      </c>
      <c r="C168" s="910">
        <v>507000000</v>
      </c>
      <c r="D168" s="910">
        <v>471070424</v>
      </c>
      <c r="E168" s="910">
        <v>35929576</v>
      </c>
      <c r="F168" s="914">
        <v>0.92913298619329387</v>
      </c>
      <c r="G168" s="121"/>
    </row>
    <row r="169" spans="1:7" s="111" customFormat="1" x14ac:dyDescent="0.2">
      <c r="A169" s="913" t="s">
        <v>78</v>
      </c>
      <c r="B169" s="916"/>
      <c r="C169" s="910"/>
      <c r="D169" s="910"/>
      <c r="E169" s="910"/>
      <c r="F169" s="914"/>
      <c r="G169" s="121"/>
    </row>
    <row r="170" spans="1:7" s="111" customFormat="1" x14ac:dyDescent="0.2">
      <c r="A170" s="915" t="s">
        <v>79</v>
      </c>
      <c r="B170" s="916">
        <v>41683</v>
      </c>
      <c r="C170" s="910">
        <v>123000000</v>
      </c>
      <c r="D170" s="910">
        <v>123000000</v>
      </c>
      <c r="E170" s="910">
        <v>0</v>
      </c>
      <c r="F170" s="914">
        <v>1</v>
      </c>
      <c r="G170" s="121"/>
    </row>
    <row r="171" spans="1:7" s="111" customFormat="1" x14ac:dyDescent="0.2">
      <c r="A171" s="913" t="s">
        <v>80</v>
      </c>
      <c r="B171" s="916"/>
      <c r="C171" s="910"/>
      <c r="D171" s="910"/>
      <c r="E171" s="910"/>
      <c r="F171" s="914"/>
      <c r="G171" s="121"/>
    </row>
    <row r="172" spans="1:7" s="111" customFormat="1" x14ac:dyDescent="0.2">
      <c r="A172" s="915" t="s">
        <v>81</v>
      </c>
      <c r="B172" s="916">
        <v>41711</v>
      </c>
      <c r="C172" s="910">
        <v>1113600</v>
      </c>
      <c r="D172" s="910">
        <v>1113600</v>
      </c>
      <c r="E172" s="910">
        <v>0</v>
      </c>
      <c r="F172" s="914">
        <v>1</v>
      </c>
      <c r="G172" s="121"/>
    </row>
    <row r="173" spans="1:7" s="111" customFormat="1" x14ac:dyDescent="0.2">
      <c r="A173" s="913" t="s">
        <v>82</v>
      </c>
      <c r="B173" s="916"/>
      <c r="C173" s="910"/>
      <c r="D173" s="910"/>
      <c r="E173" s="910"/>
      <c r="F173" s="914"/>
      <c r="G173" s="121"/>
    </row>
    <row r="174" spans="1:7" s="111" customFormat="1" x14ac:dyDescent="0.2">
      <c r="A174" s="915" t="s">
        <v>1030</v>
      </c>
      <c r="B174" s="916">
        <v>41652</v>
      </c>
      <c r="C174" s="910">
        <v>4967474</v>
      </c>
      <c r="D174" s="910">
        <v>4453683</v>
      </c>
      <c r="E174" s="910">
        <v>513791</v>
      </c>
      <c r="F174" s="914">
        <v>0.89656896040120193</v>
      </c>
      <c r="G174" s="121"/>
    </row>
    <row r="175" spans="1:7" s="111" customFormat="1" x14ac:dyDescent="0.2">
      <c r="A175" s="913" t="s">
        <v>83</v>
      </c>
      <c r="B175" s="916"/>
      <c r="C175" s="910"/>
      <c r="D175" s="910"/>
      <c r="E175" s="910"/>
      <c r="F175" s="914"/>
      <c r="G175" s="121"/>
    </row>
    <row r="176" spans="1:7" s="111" customFormat="1" x14ac:dyDescent="0.2">
      <c r="A176" s="915" t="s">
        <v>84</v>
      </c>
      <c r="B176" s="916">
        <v>41731</v>
      </c>
      <c r="C176" s="910">
        <v>15913500</v>
      </c>
      <c r="D176" s="910">
        <v>15453868</v>
      </c>
      <c r="E176" s="910">
        <v>459632</v>
      </c>
      <c r="F176" s="914">
        <v>0.971116850472869</v>
      </c>
      <c r="G176" s="121"/>
    </row>
    <row r="177" spans="1:7" s="111" customFormat="1" x14ac:dyDescent="0.2">
      <c r="A177" s="913" t="s">
        <v>85</v>
      </c>
      <c r="B177" s="916"/>
      <c r="C177" s="910"/>
      <c r="D177" s="910"/>
      <c r="E177" s="910"/>
      <c r="F177" s="914"/>
      <c r="G177" s="121"/>
    </row>
    <row r="178" spans="1:7" s="111" customFormat="1" x14ac:dyDescent="0.2">
      <c r="A178" s="915" t="s">
        <v>86</v>
      </c>
      <c r="B178" s="916">
        <v>41716</v>
      </c>
      <c r="C178" s="910">
        <v>1197000</v>
      </c>
      <c r="D178" s="910">
        <v>1197000</v>
      </c>
      <c r="E178" s="910">
        <v>0</v>
      </c>
      <c r="F178" s="914">
        <v>1</v>
      </c>
      <c r="G178" s="121"/>
    </row>
    <row r="179" spans="1:7" s="111" customFormat="1" x14ac:dyDescent="0.2">
      <c r="A179" s="913" t="s">
        <v>87</v>
      </c>
      <c r="B179" s="916"/>
      <c r="C179" s="910"/>
      <c r="D179" s="910"/>
      <c r="E179" s="910"/>
      <c r="F179" s="914"/>
      <c r="G179" s="121"/>
    </row>
    <row r="180" spans="1:7" s="111" customFormat="1" x14ac:dyDescent="0.2">
      <c r="A180" s="915" t="s">
        <v>435</v>
      </c>
      <c r="B180" s="916">
        <v>41764</v>
      </c>
      <c r="C180" s="910">
        <v>8360000</v>
      </c>
      <c r="D180" s="910">
        <v>7018000</v>
      </c>
      <c r="E180" s="910">
        <v>1342000</v>
      </c>
      <c r="F180" s="914">
        <v>0.83947368421052626</v>
      </c>
      <c r="G180" s="121"/>
    </row>
    <row r="181" spans="1:7" s="111" customFormat="1" x14ac:dyDescent="0.2">
      <c r="A181" s="913" t="s">
        <v>88</v>
      </c>
      <c r="B181" s="916"/>
      <c r="C181" s="910"/>
      <c r="D181" s="910"/>
      <c r="E181" s="910"/>
      <c r="F181" s="914"/>
      <c r="G181" s="121"/>
    </row>
    <row r="182" spans="1:7" s="111" customFormat="1" x14ac:dyDescent="0.2">
      <c r="A182" s="915" t="s">
        <v>1031</v>
      </c>
      <c r="B182" s="916">
        <v>41545</v>
      </c>
      <c r="C182" s="910">
        <v>3700000</v>
      </c>
      <c r="D182" s="910">
        <v>3700000</v>
      </c>
      <c r="E182" s="910">
        <v>0</v>
      </c>
      <c r="F182" s="914">
        <v>1</v>
      </c>
      <c r="G182" s="121"/>
    </row>
    <row r="183" spans="1:7" s="111" customFormat="1" x14ac:dyDescent="0.2">
      <c r="A183" s="913" t="s">
        <v>91</v>
      </c>
      <c r="B183" s="916"/>
      <c r="C183" s="910"/>
      <c r="D183" s="910"/>
      <c r="E183" s="910"/>
      <c r="F183" s="914"/>
      <c r="G183" s="121"/>
    </row>
    <row r="184" spans="1:7" s="111" customFormat="1" x14ac:dyDescent="0.2">
      <c r="A184" s="915" t="s">
        <v>1032</v>
      </c>
      <c r="B184" s="916">
        <v>41692</v>
      </c>
      <c r="C184" s="910">
        <v>50000000</v>
      </c>
      <c r="D184" s="910">
        <v>50000000</v>
      </c>
      <c r="E184" s="910">
        <v>0</v>
      </c>
      <c r="F184" s="914">
        <v>1</v>
      </c>
      <c r="G184" s="121"/>
    </row>
    <row r="185" spans="1:7" s="111" customFormat="1" x14ac:dyDescent="0.2">
      <c r="A185" s="913" t="s">
        <v>93</v>
      </c>
      <c r="B185" s="916"/>
      <c r="C185" s="910"/>
      <c r="D185" s="910"/>
      <c r="E185" s="910"/>
      <c r="F185" s="914"/>
      <c r="G185" s="121"/>
    </row>
    <row r="186" spans="1:7" s="111" customFormat="1" x14ac:dyDescent="0.2">
      <c r="A186" s="915" t="s">
        <v>1033</v>
      </c>
      <c r="B186" s="916">
        <v>41699</v>
      </c>
      <c r="C186" s="910">
        <v>41600000</v>
      </c>
      <c r="D186" s="910">
        <v>41600000</v>
      </c>
      <c r="E186" s="910">
        <v>0</v>
      </c>
      <c r="F186" s="914">
        <v>1</v>
      </c>
      <c r="G186" s="121"/>
    </row>
    <row r="187" spans="1:7" s="111" customFormat="1" x14ac:dyDescent="0.2">
      <c r="A187" s="913" t="s">
        <v>94</v>
      </c>
      <c r="B187" s="916"/>
      <c r="C187" s="910"/>
      <c r="D187" s="910"/>
      <c r="E187" s="910"/>
      <c r="F187" s="914"/>
      <c r="G187" s="121"/>
    </row>
    <row r="188" spans="1:7" s="111" customFormat="1" x14ac:dyDescent="0.2">
      <c r="A188" s="915" t="s">
        <v>433</v>
      </c>
      <c r="B188" s="916">
        <v>41508</v>
      </c>
      <c r="C188" s="910">
        <v>240000000</v>
      </c>
      <c r="D188" s="910">
        <v>239999964</v>
      </c>
      <c r="E188" s="910">
        <v>36</v>
      </c>
      <c r="F188" s="914">
        <v>0.99999985000000002</v>
      </c>
      <c r="G188" s="121"/>
    </row>
    <row r="189" spans="1:7" s="111" customFormat="1" x14ac:dyDescent="0.2">
      <c r="A189" s="913" t="s">
        <v>95</v>
      </c>
      <c r="B189" s="916"/>
      <c r="C189" s="910"/>
      <c r="D189" s="910"/>
      <c r="E189" s="910"/>
      <c r="F189" s="914"/>
      <c r="G189" s="121"/>
    </row>
    <row r="190" spans="1:7" s="111" customFormat="1" x14ac:dyDescent="0.2">
      <c r="A190" s="915" t="s">
        <v>41</v>
      </c>
      <c r="B190" s="916">
        <v>41890</v>
      </c>
      <c r="C190" s="910">
        <v>67179000</v>
      </c>
      <c r="D190" s="910">
        <v>67115300</v>
      </c>
      <c r="E190" s="910">
        <v>63700</v>
      </c>
      <c r="F190" s="914">
        <v>0.9990517870167761</v>
      </c>
      <c r="G190" s="121"/>
    </row>
    <row r="191" spans="1:7" s="111" customFormat="1" x14ac:dyDescent="0.2">
      <c r="A191" s="913" t="s">
        <v>96</v>
      </c>
      <c r="B191" s="916"/>
      <c r="C191" s="910"/>
      <c r="D191" s="910"/>
      <c r="E191" s="910"/>
      <c r="F191" s="914"/>
      <c r="G191" s="121"/>
    </row>
    <row r="192" spans="1:7" s="111" customFormat="1" x14ac:dyDescent="0.2">
      <c r="A192" s="915" t="s">
        <v>3</v>
      </c>
      <c r="B192" s="916">
        <v>41820</v>
      </c>
      <c r="C192" s="910">
        <v>473134060</v>
      </c>
      <c r="D192" s="910">
        <v>473133510</v>
      </c>
      <c r="E192" s="910">
        <v>550</v>
      </c>
      <c r="F192" s="914">
        <v>0.99999883753877283</v>
      </c>
      <c r="G192" s="121"/>
    </row>
    <row r="193" spans="1:7" s="111" customFormat="1" x14ac:dyDescent="0.2">
      <c r="A193" s="913" t="s">
        <v>97</v>
      </c>
      <c r="B193" s="916"/>
      <c r="C193" s="910"/>
      <c r="D193" s="910"/>
      <c r="E193" s="910"/>
      <c r="F193" s="914"/>
      <c r="G193" s="121"/>
    </row>
    <row r="194" spans="1:7" s="111" customFormat="1" x14ac:dyDescent="0.2">
      <c r="A194" s="915" t="s">
        <v>98</v>
      </c>
      <c r="B194" s="916">
        <v>41692</v>
      </c>
      <c r="C194" s="910">
        <v>2096276</v>
      </c>
      <c r="D194" s="910">
        <v>2086672</v>
      </c>
      <c r="E194" s="910">
        <v>9604</v>
      </c>
      <c r="F194" s="914">
        <v>0.99541854221486104</v>
      </c>
      <c r="G194" s="121"/>
    </row>
    <row r="195" spans="1:7" s="111" customFormat="1" x14ac:dyDescent="0.2">
      <c r="A195" s="913" t="s">
        <v>99</v>
      </c>
      <c r="B195" s="916"/>
      <c r="C195" s="910"/>
      <c r="D195" s="910"/>
      <c r="E195" s="910"/>
      <c r="F195" s="914"/>
      <c r="G195" s="121"/>
    </row>
    <row r="196" spans="1:7" s="111" customFormat="1" x14ac:dyDescent="0.2">
      <c r="A196" s="915" t="s">
        <v>100</v>
      </c>
      <c r="B196" s="916">
        <v>41660</v>
      </c>
      <c r="C196" s="910">
        <v>18744000</v>
      </c>
      <c r="D196" s="910">
        <v>18286734</v>
      </c>
      <c r="E196" s="910">
        <v>457266</v>
      </c>
      <c r="F196" s="914">
        <v>0.9756046734955186</v>
      </c>
      <c r="G196" s="121"/>
    </row>
    <row r="197" spans="1:7" s="111" customFormat="1" x14ac:dyDescent="0.2">
      <c r="A197" s="913" t="s">
        <v>121</v>
      </c>
      <c r="B197" s="916"/>
      <c r="C197" s="910"/>
      <c r="D197" s="910"/>
      <c r="E197" s="910"/>
      <c r="F197" s="914"/>
      <c r="G197" s="121"/>
    </row>
    <row r="198" spans="1:7" s="111" customFormat="1" x14ac:dyDescent="0.2">
      <c r="A198" s="915" t="s">
        <v>15</v>
      </c>
      <c r="B198" s="916">
        <v>41774</v>
      </c>
      <c r="C198" s="910">
        <v>7740000</v>
      </c>
      <c r="D198" s="910">
        <v>7740000</v>
      </c>
      <c r="E198" s="910">
        <v>0</v>
      </c>
      <c r="F198" s="914">
        <v>1</v>
      </c>
      <c r="G198" s="121"/>
    </row>
    <row r="199" spans="1:7" s="111" customFormat="1" x14ac:dyDescent="0.2">
      <c r="A199" s="913" t="s">
        <v>123</v>
      </c>
      <c r="B199" s="916"/>
      <c r="C199" s="910"/>
      <c r="D199" s="910"/>
      <c r="E199" s="910"/>
      <c r="F199" s="914"/>
      <c r="G199" s="121"/>
    </row>
    <row r="200" spans="1:7" s="111" customFormat="1" x14ac:dyDescent="0.2">
      <c r="A200" s="915" t="s">
        <v>124</v>
      </c>
      <c r="B200" s="916">
        <v>41713</v>
      </c>
      <c r="C200" s="910">
        <v>50000000</v>
      </c>
      <c r="D200" s="910">
        <v>27500000</v>
      </c>
      <c r="E200" s="910">
        <v>22500000</v>
      </c>
      <c r="F200" s="914">
        <v>0.55000000000000004</v>
      </c>
      <c r="G200" s="121"/>
    </row>
    <row r="201" spans="1:7" s="111" customFormat="1" x14ac:dyDescent="0.2">
      <c r="A201" s="913" t="s">
        <v>125</v>
      </c>
      <c r="B201" s="916"/>
      <c r="C201" s="910"/>
      <c r="D201" s="910"/>
      <c r="E201" s="910"/>
      <c r="F201" s="914"/>
      <c r="G201" s="121"/>
    </row>
    <row r="202" spans="1:7" s="111" customFormat="1" x14ac:dyDescent="0.2">
      <c r="A202" s="915" t="s">
        <v>126</v>
      </c>
      <c r="B202" s="916">
        <v>41698</v>
      </c>
      <c r="C202" s="910">
        <v>9366000</v>
      </c>
      <c r="D202" s="910">
        <v>7783682</v>
      </c>
      <c r="E202" s="910">
        <v>1582318</v>
      </c>
      <c r="F202" s="914">
        <v>0.83105722827247486</v>
      </c>
      <c r="G202" s="121"/>
    </row>
    <row r="203" spans="1:7" s="111" customFormat="1" x14ac:dyDescent="0.2">
      <c r="A203" s="913" t="s">
        <v>129</v>
      </c>
      <c r="B203" s="916"/>
      <c r="C203" s="910"/>
      <c r="D203" s="910"/>
      <c r="E203" s="910"/>
      <c r="F203" s="914"/>
      <c r="G203" s="121"/>
    </row>
    <row r="204" spans="1:7" s="111" customFormat="1" x14ac:dyDescent="0.2">
      <c r="A204" s="915" t="s">
        <v>1019</v>
      </c>
      <c r="B204" s="916">
        <v>41806</v>
      </c>
      <c r="C204" s="910">
        <v>33120000</v>
      </c>
      <c r="D204" s="910">
        <v>32832950</v>
      </c>
      <c r="E204" s="910">
        <v>287050</v>
      </c>
      <c r="F204" s="914">
        <v>0.99133303140096618</v>
      </c>
      <c r="G204" s="121"/>
    </row>
    <row r="205" spans="1:7" s="111" customFormat="1" x14ac:dyDescent="0.2">
      <c r="A205" s="913" t="s">
        <v>89</v>
      </c>
      <c r="B205" s="916"/>
      <c r="C205" s="910"/>
      <c r="D205" s="910"/>
      <c r="E205" s="910"/>
      <c r="F205" s="914"/>
      <c r="G205" s="121"/>
    </row>
    <row r="206" spans="1:7" s="111" customFormat="1" x14ac:dyDescent="0.2">
      <c r="A206" s="915" t="s">
        <v>90</v>
      </c>
      <c r="B206" s="916">
        <v>41802</v>
      </c>
      <c r="C206" s="910">
        <v>1030000</v>
      </c>
      <c r="D206" s="910">
        <v>1030000</v>
      </c>
      <c r="E206" s="910">
        <v>0</v>
      </c>
      <c r="F206" s="914">
        <v>1</v>
      </c>
      <c r="G206" s="121"/>
    </row>
    <row r="207" spans="1:7" s="111" customFormat="1" x14ac:dyDescent="0.2">
      <c r="A207" s="913" t="s">
        <v>130</v>
      </c>
      <c r="B207" s="916"/>
      <c r="C207" s="910"/>
      <c r="D207" s="910"/>
      <c r="E207" s="910"/>
      <c r="F207" s="914"/>
      <c r="G207" s="121"/>
    </row>
    <row r="208" spans="1:7" s="111" customFormat="1" x14ac:dyDescent="0.2">
      <c r="A208" s="915" t="s">
        <v>1112</v>
      </c>
      <c r="B208" s="916">
        <v>41897</v>
      </c>
      <c r="C208" s="910">
        <v>1552431776</v>
      </c>
      <c r="D208" s="910">
        <v>1552431775</v>
      </c>
      <c r="E208" s="910">
        <v>1</v>
      </c>
      <c r="F208" s="914">
        <v>0.99999999935584927</v>
      </c>
      <c r="G208" s="121"/>
    </row>
    <row r="209" spans="1:7" s="111" customFormat="1" x14ac:dyDescent="0.2">
      <c r="A209" s="913" t="s">
        <v>132</v>
      </c>
      <c r="B209" s="916"/>
      <c r="C209" s="910"/>
      <c r="D209" s="910"/>
      <c r="E209" s="910"/>
      <c r="F209" s="914"/>
      <c r="G209" s="121"/>
    </row>
    <row r="210" spans="1:7" s="111" customFormat="1" x14ac:dyDescent="0.2">
      <c r="A210" s="915" t="s">
        <v>27</v>
      </c>
      <c r="B210" s="916">
        <v>41969</v>
      </c>
      <c r="C210" s="910">
        <v>849000</v>
      </c>
      <c r="D210" s="910">
        <v>849000</v>
      </c>
      <c r="E210" s="910">
        <v>0</v>
      </c>
      <c r="F210" s="914">
        <v>1</v>
      </c>
      <c r="G210" s="121"/>
    </row>
    <row r="211" spans="1:7" s="111" customFormat="1" x14ac:dyDescent="0.2">
      <c r="A211" s="913" t="s">
        <v>133</v>
      </c>
      <c r="B211" s="916"/>
      <c r="C211" s="910"/>
      <c r="D211" s="910"/>
      <c r="E211" s="910"/>
      <c r="F211" s="914"/>
      <c r="G211" s="121"/>
    </row>
    <row r="212" spans="1:7" s="111" customFormat="1" x14ac:dyDescent="0.2">
      <c r="A212" s="915" t="s">
        <v>134</v>
      </c>
      <c r="B212" s="916">
        <v>41823</v>
      </c>
      <c r="C212" s="910">
        <v>15000000</v>
      </c>
      <c r="D212" s="910">
        <v>5368620</v>
      </c>
      <c r="E212" s="910">
        <v>9631380</v>
      </c>
      <c r="F212" s="914">
        <v>0.357908</v>
      </c>
      <c r="G212" s="121"/>
    </row>
    <row r="213" spans="1:7" s="111" customFormat="1" x14ac:dyDescent="0.2">
      <c r="A213" s="913" t="s">
        <v>135</v>
      </c>
      <c r="B213" s="916"/>
      <c r="C213" s="910"/>
      <c r="D213" s="910"/>
      <c r="E213" s="910"/>
      <c r="F213" s="914"/>
      <c r="G213" s="121"/>
    </row>
    <row r="214" spans="1:7" s="111" customFormat="1" x14ac:dyDescent="0.2">
      <c r="A214" s="915" t="s">
        <v>38</v>
      </c>
      <c r="B214" s="916">
        <v>41820</v>
      </c>
      <c r="C214" s="910">
        <v>35904847</v>
      </c>
      <c r="D214" s="910">
        <v>35904845</v>
      </c>
      <c r="E214" s="910">
        <v>2</v>
      </c>
      <c r="F214" s="914">
        <v>0.99999994429721428</v>
      </c>
      <c r="G214" s="121"/>
    </row>
    <row r="215" spans="1:7" s="111" customFormat="1" x14ac:dyDescent="0.2">
      <c r="A215" s="913" t="s">
        <v>136</v>
      </c>
      <c r="B215" s="916"/>
      <c r="C215" s="910"/>
      <c r="D215" s="910"/>
      <c r="E215" s="910"/>
      <c r="F215" s="914"/>
      <c r="G215" s="121"/>
    </row>
    <row r="216" spans="1:7" s="111" customFormat="1" x14ac:dyDescent="0.2">
      <c r="A216" s="915" t="s">
        <v>137</v>
      </c>
      <c r="B216" s="916">
        <v>41660</v>
      </c>
      <c r="C216" s="910">
        <v>40000000</v>
      </c>
      <c r="D216" s="910">
        <v>16667000</v>
      </c>
      <c r="E216" s="910">
        <v>23333000</v>
      </c>
      <c r="F216" s="914">
        <v>0.41667500000000002</v>
      </c>
      <c r="G216" s="121"/>
    </row>
    <row r="217" spans="1:7" s="111" customFormat="1" x14ac:dyDescent="0.2">
      <c r="A217" s="913" t="s">
        <v>202</v>
      </c>
      <c r="B217" s="916"/>
      <c r="C217" s="910"/>
      <c r="D217" s="910"/>
      <c r="E217" s="910"/>
      <c r="F217" s="914"/>
      <c r="G217" s="121"/>
    </row>
    <row r="218" spans="1:7" s="111" customFormat="1" x14ac:dyDescent="0.2">
      <c r="A218" s="915" t="s">
        <v>203</v>
      </c>
      <c r="B218" s="916">
        <v>41578</v>
      </c>
      <c r="C218" s="910">
        <v>4524000</v>
      </c>
      <c r="D218" s="910">
        <v>4524000</v>
      </c>
      <c r="E218" s="910">
        <v>0</v>
      </c>
      <c r="F218" s="914">
        <v>1</v>
      </c>
      <c r="G218" s="121"/>
    </row>
    <row r="219" spans="1:7" s="111" customFormat="1" x14ac:dyDescent="0.2">
      <c r="A219" s="913" t="s">
        <v>138</v>
      </c>
      <c r="B219" s="916"/>
      <c r="C219" s="910"/>
      <c r="D219" s="910"/>
      <c r="E219" s="910"/>
      <c r="F219" s="914"/>
      <c r="G219" s="121"/>
    </row>
    <row r="220" spans="1:7" s="111" customFormat="1" x14ac:dyDescent="0.2">
      <c r="A220" s="915" t="s">
        <v>1034</v>
      </c>
      <c r="B220" s="916">
        <v>41665</v>
      </c>
      <c r="C220" s="910">
        <v>20800000</v>
      </c>
      <c r="D220" s="910">
        <v>20800000</v>
      </c>
      <c r="E220" s="910">
        <v>0</v>
      </c>
      <c r="F220" s="914">
        <v>1</v>
      </c>
      <c r="G220" s="121"/>
    </row>
    <row r="221" spans="1:7" s="111" customFormat="1" x14ac:dyDescent="0.2">
      <c r="A221" s="913" t="s">
        <v>139</v>
      </c>
      <c r="B221" s="916"/>
      <c r="C221" s="910"/>
      <c r="D221" s="910"/>
      <c r="E221" s="910"/>
      <c r="F221" s="914"/>
      <c r="G221" s="121"/>
    </row>
    <row r="222" spans="1:7" s="111" customFormat="1" x14ac:dyDescent="0.2">
      <c r="A222" s="915" t="s">
        <v>140</v>
      </c>
      <c r="B222" s="916">
        <v>41667</v>
      </c>
      <c r="C222" s="910">
        <v>28000000</v>
      </c>
      <c r="D222" s="910">
        <v>28000000</v>
      </c>
      <c r="E222" s="910">
        <v>0</v>
      </c>
      <c r="F222" s="914">
        <v>1</v>
      </c>
      <c r="G222" s="121"/>
    </row>
    <row r="223" spans="1:7" s="111" customFormat="1" x14ac:dyDescent="0.2">
      <c r="A223" s="913" t="s">
        <v>141</v>
      </c>
      <c r="B223" s="916"/>
      <c r="C223" s="910"/>
      <c r="D223" s="910"/>
      <c r="E223" s="910"/>
      <c r="F223" s="914"/>
      <c r="G223" s="121"/>
    </row>
    <row r="224" spans="1:7" s="111" customFormat="1" x14ac:dyDescent="0.2">
      <c r="A224" s="915" t="s">
        <v>142</v>
      </c>
      <c r="B224" s="916">
        <v>41501</v>
      </c>
      <c r="C224" s="910">
        <v>266580829</v>
      </c>
      <c r="D224" s="910">
        <v>266580829</v>
      </c>
      <c r="E224" s="910">
        <v>0</v>
      </c>
      <c r="F224" s="914">
        <v>1</v>
      </c>
      <c r="G224" s="121"/>
    </row>
    <row r="225" spans="1:7" s="111" customFormat="1" x14ac:dyDescent="0.2">
      <c r="A225" s="913" t="s">
        <v>143</v>
      </c>
      <c r="B225" s="916"/>
      <c r="C225" s="910"/>
      <c r="D225" s="910"/>
      <c r="E225" s="910"/>
      <c r="F225" s="914"/>
      <c r="G225" s="121"/>
    </row>
    <row r="226" spans="1:7" s="111" customFormat="1" x14ac:dyDescent="0.2">
      <c r="A226" s="915" t="s">
        <v>144</v>
      </c>
      <c r="B226" s="916">
        <v>41849</v>
      </c>
      <c r="C226" s="910">
        <v>348897514</v>
      </c>
      <c r="D226" s="910">
        <v>348897514</v>
      </c>
      <c r="E226" s="910">
        <v>0</v>
      </c>
      <c r="F226" s="914">
        <v>1</v>
      </c>
      <c r="G226" s="121"/>
    </row>
    <row r="227" spans="1:7" s="111" customFormat="1" x14ac:dyDescent="0.2">
      <c r="A227" s="913" t="s">
        <v>145</v>
      </c>
      <c r="B227" s="916"/>
      <c r="C227" s="910"/>
      <c r="D227" s="910"/>
      <c r="E227" s="910"/>
      <c r="F227" s="914"/>
      <c r="G227" s="121"/>
    </row>
    <row r="228" spans="1:7" s="111" customFormat="1" x14ac:dyDescent="0.2">
      <c r="A228" s="915" t="s">
        <v>43</v>
      </c>
      <c r="B228" s="916">
        <v>41736</v>
      </c>
      <c r="C228" s="910">
        <v>23246000</v>
      </c>
      <c r="D228" s="910">
        <v>19772977</v>
      </c>
      <c r="E228" s="910">
        <v>3473023</v>
      </c>
      <c r="F228" s="914">
        <v>0.85059696291835152</v>
      </c>
      <c r="G228" s="121"/>
    </row>
    <row r="229" spans="1:7" s="111" customFormat="1" x14ac:dyDescent="0.2">
      <c r="A229" s="913" t="s">
        <v>146</v>
      </c>
      <c r="B229" s="916"/>
      <c r="C229" s="910"/>
      <c r="D229" s="910"/>
      <c r="E229" s="910"/>
      <c r="F229" s="914"/>
      <c r="G229" s="121"/>
    </row>
    <row r="230" spans="1:7" s="111" customFormat="1" x14ac:dyDescent="0.2">
      <c r="A230" s="915" t="s">
        <v>1018</v>
      </c>
      <c r="B230" s="916">
        <v>41810</v>
      </c>
      <c r="C230" s="910">
        <v>321573359</v>
      </c>
      <c r="D230" s="910">
        <v>317232018</v>
      </c>
      <c r="E230" s="910">
        <v>4341341</v>
      </c>
      <c r="F230" s="914">
        <v>0.98649968699677015</v>
      </c>
      <c r="G230" s="121"/>
    </row>
    <row r="231" spans="1:7" x14ac:dyDescent="0.2">
      <c r="A231" s="913" t="s">
        <v>147</v>
      </c>
      <c r="B231" s="916"/>
      <c r="C231" s="910"/>
      <c r="D231" s="910"/>
      <c r="E231" s="910"/>
      <c r="F231" s="914"/>
    </row>
    <row r="232" spans="1:7" x14ac:dyDescent="0.2">
      <c r="A232" s="915" t="s">
        <v>148</v>
      </c>
      <c r="B232" s="916">
        <v>41851</v>
      </c>
      <c r="C232" s="910">
        <v>22292691</v>
      </c>
      <c r="D232" s="910">
        <v>22292692</v>
      </c>
      <c r="E232" s="910">
        <v>-1</v>
      </c>
      <c r="F232" s="914">
        <v>1.0000000448577517</v>
      </c>
    </row>
    <row r="233" spans="1:7" x14ac:dyDescent="0.2">
      <c r="A233" s="913" t="s">
        <v>155</v>
      </c>
      <c r="B233" s="916"/>
      <c r="C233" s="910"/>
      <c r="D233" s="910"/>
      <c r="E233" s="910"/>
      <c r="F233" s="914"/>
    </row>
    <row r="234" spans="1:7" x14ac:dyDescent="0.2">
      <c r="A234" s="915" t="s">
        <v>1035</v>
      </c>
      <c r="B234" s="916">
        <v>41671</v>
      </c>
      <c r="C234" s="910">
        <v>23989000</v>
      </c>
      <c r="D234" s="910">
        <v>23989000</v>
      </c>
      <c r="E234" s="910">
        <v>0</v>
      </c>
      <c r="F234" s="914">
        <v>1</v>
      </c>
    </row>
    <row r="235" spans="1:7" x14ac:dyDescent="0.2">
      <c r="A235" s="913" t="s">
        <v>156</v>
      </c>
      <c r="B235" s="916"/>
      <c r="C235" s="910"/>
      <c r="D235" s="910"/>
      <c r="E235" s="910"/>
      <c r="F235" s="914"/>
    </row>
    <row r="236" spans="1:7" x14ac:dyDescent="0.2">
      <c r="A236" s="915" t="s">
        <v>53</v>
      </c>
      <c r="B236" s="916">
        <v>41712</v>
      </c>
      <c r="C236" s="910">
        <v>19576000</v>
      </c>
      <c r="D236" s="910">
        <v>19571370</v>
      </c>
      <c r="E236" s="910">
        <v>4630</v>
      </c>
      <c r="F236" s="914">
        <v>0.99976348590110342</v>
      </c>
    </row>
    <row r="237" spans="1:7" x14ac:dyDescent="0.2">
      <c r="A237" s="913" t="s">
        <v>157</v>
      </c>
      <c r="B237" s="916"/>
      <c r="C237" s="910"/>
      <c r="D237" s="910"/>
      <c r="E237" s="910"/>
      <c r="F237" s="914"/>
    </row>
    <row r="238" spans="1:7" x14ac:dyDescent="0.2">
      <c r="A238" s="915" t="s">
        <v>158</v>
      </c>
      <c r="B238" s="916">
        <v>41562</v>
      </c>
      <c r="C238" s="910">
        <v>6499930</v>
      </c>
      <c r="D238" s="910">
        <v>6499930</v>
      </c>
      <c r="E238" s="910">
        <v>0</v>
      </c>
      <c r="F238" s="914">
        <v>1</v>
      </c>
    </row>
    <row r="239" spans="1:7" x14ac:dyDescent="0.2">
      <c r="A239" s="913" t="s">
        <v>159</v>
      </c>
      <c r="B239" s="916"/>
      <c r="C239" s="910"/>
      <c r="D239" s="910"/>
      <c r="E239" s="910"/>
      <c r="F239" s="914"/>
    </row>
    <row r="240" spans="1:7" x14ac:dyDescent="0.2">
      <c r="A240" s="915" t="s">
        <v>160</v>
      </c>
      <c r="B240" s="916">
        <v>41533</v>
      </c>
      <c r="C240" s="910">
        <v>2367000</v>
      </c>
      <c r="D240" s="910">
        <v>2367000</v>
      </c>
      <c r="E240" s="910">
        <v>0</v>
      </c>
      <c r="F240" s="914">
        <v>1</v>
      </c>
    </row>
    <row r="241" spans="1:6" x14ac:dyDescent="0.2">
      <c r="A241" s="913" t="s">
        <v>164</v>
      </c>
      <c r="B241" s="916"/>
      <c r="C241" s="910"/>
      <c r="D241" s="910"/>
      <c r="E241" s="910"/>
      <c r="F241" s="914"/>
    </row>
    <row r="242" spans="1:6" x14ac:dyDescent="0.2">
      <c r="A242" s="915" t="s">
        <v>165</v>
      </c>
      <c r="B242" s="916">
        <v>41820</v>
      </c>
      <c r="C242" s="910">
        <v>269441460</v>
      </c>
      <c r="D242" s="910">
        <v>265223666</v>
      </c>
      <c r="E242" s="910">
        <v>4217794</v>
      </c>
      <c r="F242" s="914">
        <v>0.98434615815992088</v>
      </c>
    </row>
    <row r="243" spans="1:6" x14ac:dyDescent="0.2">
      <c r="A243" s="913" t="s">
        <v>190</v>
      </c>
      <c r="B243" s="916"/>
      <c r="C243" s="910"/>
      <c r="D243" s="910"/>
      <c r="E243" s="910"/>
      <c r="F243" s="914"/>
    </row>
    <row r="244" spans="1:6" x14ac:dyDescent="0.2">
      <c r="A244" s="915" t="s">
        <v>29</v>
      </c>
      <c r="B244" s="916">
        <v>41895</v>
      </c>
      <c r="C244" s="910">
        <v>840000</v>
      </c>
      <c r="D244" s="910">
        <v>840000</v>
      </c>
      <c r="E244" s="910">
        <v>0</v>
      </c>
      <c r="F244" s="914">
        <v>1</v>
      </c>
    </row>
    <row r="245" spans="1:6" x14ac:dyDescent="0.2">
      <c r="A245" s="913" t="s">
        <v>166</v>
      </c>
      <c r="B245" s="916"/>
      <c r="C245" s="910"/>
      <c r="D245" s="910"/>
      <c r="E245" s="910"/>
      <c r="F245" s="914"/>
    </row>
    <row r="246" spans="1:6" x14ac:dyDescent="0.2">
      <c r="A246" s="915" t="s">
        <v>1025</v>
      </c>
      <c r="B246" s="916">
        <v>41714</v>
      </c>
      <c r="C246" s="910">
        <v>38271000</v>
      </c>
      <c r="D246" s="910">
        <v>38271000</v>
      </c>
      <c r="E246" s="910">
        <v>0</v>
      </c>
      <c r="F246" s="914">
        <v>1</v>
      </c>
    </row>
    <row r="247" spans="1:6" x14ac:dyDescent="0.2">
      <c r="A247" s="913" t="s">
        <v>175</v>
      </c>
      <c r="B247" s="916"/>
      <c r="C247" s="910"/>
      <c r="D247" s="910"/>
      <c r="E247" s="910"/>
      <c r="F247" s="914"/>
    </row>
    <row r="248" spans="1:6" x14ac:dyDescent="0.2">
      <c r="A248" s="915" t="s">
        <v>176</v>
      </c>
      <c r="B248" s="916">
        <v>42082</v>
      </c>
      <c r="C248" s="910">
        <v>4001000</v>
      </c>
      <c r="D248" s="910">
        <v>4001000</v>
      </c>
      <c r="E248" s="910">
        <v>0</v>
      </c>
      <c r="F248" s="914">
        <v>1</v>
      </c>
    </row>
    <row r="249" spans="1:6" x14ac:dyDescent="0.2">
      <c r="A249" s="913" t="s">
        <v>197</v>
      </c>
      <c r="B249" s="916"/>
      <c r="C249" s="910"/>
      <c r="D249" s="910"/>
      <c r="E249" s="910"/>
      <c r="F249" s="914"/>
    </row>
    <row r="250" spans="1:6" x14ac:dyDescent="0.2">
      <c r="A250" s="915" t="s">
        <v>198</v>
      </c>
      <c r="B250" s="916">
        <v>41790</v>
      </c>
      <c r="C250" s="910">
        <v>10222000</v>
      </c>
      <c r="D250" s="910">
        <v>10208006</v>
      </c>
      <c r="E250" s="910">
        <v>13994</v>
      </c>
      <c r="F250" s="914">
        <v>0.99863099197808647</v>
      </c>
    </row>
    <row r="251" spans="1:6" x14ac:dyDescent="0.2">
      <c r="A251" s="913" t="s">
        <v>167</v>
      </c>
      <c r="B251" s="916"/>
      <c r="C251" s="910"/>
      <c r="D251" s="910"/>
      <c r="E251" s="910"/>
      <c r="F251" s="914"/>
    </row>
    <row r="252" spans="1:6" x14ac:dyDescent="0.2">
      <c r="A252" s="915" t="s">
        <v>1516</v>
      </c>
      <c r="B252" s="916">
        <v>41691</v>
      </c>
      <c r="C252" s="910">
        <v>23989000</v>
      </c>
      <c r="D252" s="910">
        <v>23989000</v>
      </c>
      <c r="E252" s="910">
        <v>0</v>
      </c>
      <c r="F252" s="914">
        <v>1</v>
      </c>
    </row>
    <row r="253" spans="1:6" x14ac:dyDescent="0.2">
      <c r="A253" s="913" t="s">
        <v>178</v>
      </c>
      <c r="B253" s="916"/>
      <c r="C253" s="910"/>
      <c r="D253" s="910"/>
      <c r="E253" s="910"/>
      <c r="F253" s="914"/>
    </row>
    <row r="254" spans="1:6" x14ac:dyDescent="0.2">
      <c r="A254" s="915" t="s">
        <v>33</v>
      </c>
      <c r="B254" s="916">
        <v>41911</v>
      </c>
      <c r="C254" s="910">
        <v>795000</v>
      </c>
      <c r="D254" s="910">
        <v>795000</v>
      </c>
      <c r="E254" s="910">
        <v>0</v>
      </c>
      <c r="F254" s="914">
        <v>1</v>
      </c>
    </row>
    <row r="255" spans="1:6" x14ac:dyDescent="0.2">
      <c r="A255" s="913" t="s">
        <v>189</v>
      </c>
      <c r="B255" s="916"/>
      <c r="C255" s="910"/>
      <c r="D255" s="910"/>
      <c r="E255" s="910"/>
      <c r="F255" s="914"/>
    </row>
    <row r="256" spans="1:6" x14ac:dyDescent="0.2">
      <c r="A256" s="915" t="s">
        <v>13</v>
      </c>
      <c r="B256" s="916">
        <v>41892</v>
      </c>
      <c r="C256" s="910">
        <v>936000</v>
      </c>
      <c r="D256" s="910">
        <v>936000</v>
      </c>
      <c r="E256" s="910">
        <v>0</v>
      </c>
      <c r="F256" s="914">
        <v>1</v>
      </c>
    </row>
    <row r="257" spans="1:6" x14ac:dyDescent="0.2">
      <c r="A257" s="913" t="s">
        <v>168</v>
      </c>
      <c r="B257" s="916"/>
      <c r="C257" s="910"/>
      <c r="D257" s="910"/>
      <c r="E257" s="910"/>
      <c r="F257" s="914"/>
    </row>
    <row r="258" spans="1:6" x14ac:dyDescent="0.2">
      <c r="A258" s="915" t="s">
        <v>169</v>
      </c>
      <c r="B258" s="916">
        <v>41858</v>
      </c>
      <c r="C258" s="910">
        <v>3847300</v>
      </c>
      <c r="D258" s="910">
        <v>3847300</v>
      </c>
      <c r="E258" s="910">
        <v>0</v>
      </c>
      <c r="F258" s="914">
        <v>1</v>
      </c>
    </row>
    <row r="259" spans="1:6" x14ac:dyDescent="0.2">
      <c r="A259" s="913" t="s">
        <v>172</v>
      </c>
      <c r="B259" s="916"/>
      <c r="C259" s="910"/>
      <c r="D259" s="910"/>
      <c r="E259" s="910"/>
      <c r="F259" s="914"/>
    </row>
    <row r="260" spans="1:6" x14ac:dyDescent="0.2">
      <c r="A260" s="915" t="s">
        <v>152</v>
      </c>
      <c r="B260" s="916">
        <v>41864</v>
      </c>
      <c r="C260" s="910">
        <v>60693200</v>
      </c>
      <c r="D260" s="910">
        <v>59391828</v>
      </c>
      <c r="E260" s="910">
        <v>1301372</v>
      </c>
      <c r="F260" s="914">
        <v>0.97855819103293284</v>
      </c>
    </row>
    <row r="261" spans="1:6" x14ac:dyDescent="0.2">
      <c r="A261" s="913" t="s">
        <v>173</v>
      </c>
      <c r="B261" s="916"/>
      <c r="C261" s="910"/>
      <c r="D261" s="910"/>
      <c r="E261" s="910"/>
      <c r="F261" s="914"/>
    </row>
    <row r="262" spans="1:6" x14ac:dyDescent="0.2">
      <c r="A262" s="915" t="s">
        <v>174</v>
      </c>
      <c r="B262" s="916">
        <v>41876</v>
      </c>
      <c r="C262" s="910">
        <v>4393120</v>
      </c>
      <c r="D262" s="910">
        <v>2578000</v>
      </c>
      <c r="E262" s="910">
        <v>1815120</v>
      </c>
      <c r="F262" s="914">
        <v>0.58682667443639147</v>
      </c>
    </row>
    <row r="263" spans="1:6" x14ac:dyDescent="0.2">
      <c r="A263" s="913" t="s">
        <v>187</v>
      </c>
      <c r="B263" s="916"/>
      <c r="C263" s="910"/>
      <c r="D263" s="910"/>
      <c r="E263" s="910"/>
      <c r="F263" s="914"/>
    </row>
    <row r="264" spans="1:6" x14ac:dyDescent="0.2">
      <c r="A264" s="915" t="s">
        <v>188</v>
      </c>
      <c r="B264" s="916">
        <v>42099</v>
      </c>
      <c r="C264" s="910">
        <v>25204000</v>
      </c>
      <c r="D264" s="910">
        <v>25201450</v>
      </c>
      <c r="E264" s="910">
        <v>2550</v>
      </c>
      <c r="F264" s="914">
        <v>0.99989882558324072</v>
      </c>
    </row>
    <row r="265" spans="1:6" x14ac:dyDescent="0.2">
      <c r="A265" s="913" t="s">
        <v>183</v>
      </c>
      <c r="B265" s="916"/>
      <c r="C265" s="910"/>
      <c r="D265" s="910"/>
      <c r="E265" s="910"/>
      <c r="F265" s="914"/>
    </row>
    <row r="266" spans="1:6" x14ac:dyDescent="0.2">
      <c r="A266" s="915" t="s">
        <v>184</v>
      </c>
      <c r="B266" s="916">
        <v>42055</v>
      </c>
      <c r="C266" s="910">
        <v>130384697</v>
      </c>
      <c r="D266" s="910">
        <v>96359635</v>
      </c>
      <c r="E266" s="910">
        <v>34025062</v>
      </c>
      <c r="F266" s="914">
        <v>0.7390409857684449</v>
      </c>
    </row>
    <row r="267" spans="1:6" x14ac:dyDescent="0.2">
      <c r="A267" s="913" t="s">
        <v>185</v>
      </c>
      <c r="B267" s="916"/>
      <c r="C267" s="910"/>
      <c r="D267" s="910"/>
      <c r="E267" s="910"/>
      <c r="F267" s="914"/>
    </row>
    <row r="268" spans="1:6" x14ac:dyDescent="0.2">
      <c r="A268" s="915" t="s">
        <v>186</v>
      </c>
      <c r="B268" s="916">
        <v>41897</v>
      </c>
      <c r="C268" s="910">
        <v>45056000</v>
      </c>
      <c r="D268" s="910">
        <v>25056000</v>
      </c>
      <c r="E268" s="910">
        <v>20000000</v>
      </c>
      <c r="F268" s="914">
        <v>0.55610795454545459</v>
      </c>
    </row>
    <row r="269" spans="1:6" x14ac:dyDescent="0.2">
      <c r="A269" s="913" t="s">
        <v>195</v>
      </c>
      <c r="B269" s="916"/>
      <c r="C269" s="910"/>
      <c r="D269" s="910"/>
      <c r="E269" s="910"/>
      <c r="F269" s="914"/>
    </row>
    <row r="270" spans="1:6" x14ac:dyDescent="0.2">
      <c r="A270" s="915" t="s">
        <v>1037</v>
      </c>
      <c r="B270" s="916">
        <v>41782</v>
      </c>
      <c r="C270" s="910">
        <v>114225288</v>
      </c>
      <c r="D270" s="910">
        <v>114217068</v>
      </c>
      <c r="E270" s="910">
        <v>8220</v>
      </c>
      <c r="F270" s="914">
        <v>0.99992803695097709</v>
      </c>
    </row>
    <row r="271" spans="1:6" x14ac:dyDescent="0.2">
      <c r="A271" s="913" t="s">
        <v>191</v>
      </c>
      <c r="B271" s="916"/>
      <c r="C271" s="910"/>
      <c r="D271" s="910"/>
      <c r="E271" s="910"/>
      <c r="F271" s="914"/>
    </row>
    <row r="272" spans="1:6" x14ac:dyDescent="0.2">
      <c r="A272" s="915" t="s">
        <v>192</v>
      </c>
      <c r="B272" s="916">
        <v>41615</v>
      </c>
      <c r="C272" s="910">
        <v>4715000</v>
      </c>
      <c r="D272" s="910">
        <v>4715000</v>
      </c>
      <c r="E272" s="910">
        <v>0</v>
      </c>
      <c r="F272" s="914">
        <v>1</v>
      </c>
    </row>
    <row r="273" spans="1:6" x14ac:dyDescent="0.2">
      <c r="A273" s="913" t="s">
        <v>199</v>
      </c>
      <c r="B273" s="916"/>
      <c r="C273" s="910"/>
      <c r="D273" s="910"/>
      <c r="E273" s="910"/>
      <c r="F273" s="914"/>
    </row>
    <row r="274" spans="1:6" x14ac:dyDescent="0.2">
      <c r="A274" s="915" t="s">
        <v>1038</v>
      </c>
      <c r="B274" s="916">
        <v>41890</v>
      </c>
      <c r="C274" s="910">
        <v>457000000</v>
      </c>
      <c r="D274" s="910">
        <v>416287285</v>
      </c>
      <c r="E274" s="910">
        <v>40712715</v>
      </c>
      <c r="F274" s="914">
        <v>0.91091309628008754</v>
      </c>
    </row>
    <row r="275" spans="1:6" x14ac:dyDescent="0.2">
      <c r="A275" s="913" t="s">
        <v>177</v>
      </c>
      <c r="B275" s="916"/>
      <c r="C275" s="910"/>
      <c r="D275" s="910"/>
      <c r="E275" s="910"/>
      <c r="F275" s="914"/>
    </row>
    <row r="276" spans="1:6" x14ac:dyDescent="0.2">
      <c r="A276" s="915" t="s">
        <v>1039</v>
      </c>
      <c r="B276" s="916">
        <v>41645</v>
      </c>
      <c r="C276" s="910">
        <v>3356320</v>
      </c>
      <c r="D276" s="910">
        <v>3356320</v>
      </c>
      <c r="E276" s="910">
        <v>0</v>
      </c>
      <c r="F276" s="914">
        <v>1</v>
      </c>
    </row>
    <row r="277" spans="1:6" x14ac:dyDescent="0.2">
      <c r="A277" s="913" t="s">
        <v>193</v>
      </c>
      <c r="B277" s="916"/>
      <c r="C277" s="910"/>
      <c r="D277" s="910"/>
      <c r="E277" s="910"/>
      <c r="F277" s="914"/>
    </row>
    <row r="278" spans="1:6" x14ac:dyDescent="0.2">
      <c r="A278" s="915" t="s">
        <v>194</v>
      </c>
      <c r="B278" s="916">
        <v>41935</v>
      </c>
      <c r="C278" s="910">
        <v>19965572</v>
      </c>
      <c r="D278" s="910">
        <v>19965572</v>
      </c>
      <c r="E278" s="910">
        <v>0</v>
      </c>
      <c r="F278" s="914">
        <v>1</v>
      </c>
    </row>
    <row r="279" spans="1:6" x14ac:dyDescent="0.2">
      <c r="A279" s="913" t="s">
        <v>196</v>
      </c>
      <c r="B279" s="916"/>
      <c r="C279" s="910"/>
      <c r="D279" s="910"/>
      <c r="E279" s="910"/>
      <c r="F279" s="914"/>
    </row>
    <row r="280" spans="1:6" x14ac:dyDescent="0.2">
      <c r="A280" s="915" t="s">
        <v>22</v>
      </c>
      <c r="B280" s="916">
        <v>41926</v>
      </c>
      <c r="C280" s="910">
        <v>38280000</v>
      </c>
      <c r="D280" s="910">
        <v>38280000</v>
      </c>
      <c r="E280" s="910">
        <v>0</v>
      </c>
      <c r="F280" s="914">
        <v>1</v>
      </c>
    </row>
    <row r="281" spans="1:6" x14ac:dyDescent="0.2">
      <c r="A281" s="913" t="s">
        <v>200</v>
      </c>
      <c r="B281" s="916"/>
      <c r="C281" s="910"/>
      <c r="D281" s="910"/>
      <c r="E281" s="910"/>
      <c r="F281" s="914"/>
    </row>
    <row r="282" spans="1:6" x14ac:dyDescent="0.2">
      <c r="A282" s="915" t="s">
        <v>201</v>
      </c>
      <c r="B282" s="916">
        <v>41592</v>
      </c>
      <c r="C282" s="910">
        <v>26073552</v>
      </c>
      <c r="D282" s="910">
        <v>26073552</v>
      </c>
      <c r="E282" s="910">
        <v>0</v>
      </c>
      <c r="F282" s="914">
        <v>1</v>
      </c>
    </row>
    <row r="283" spans="1:6" x14ac:dyDescent="0.2">
      <c r="A283" s="913" t="s">
        <v>204</v>
      </c>
      <c r="B283" s="916"/>
      <c r="C283" s="910"/>
      <c r="D283" s="910"/>
      <c r="E283" s="910"/>
      <c r="F283" s="914"/>
    </row>
    <row r="284" spans="1:6" x14ac:dyDescent="0.2">
      <c r="A284" s="915" t="s">
        <v>205</v>
      </c>
      <c r="B284" s="916">
        <v>41692</v>
      </c>
      <c r="C284" s="910">
        <v>17262940</v>
      </c>
      <c r="D284" s="910">
        <v>17262940</v>
      </c>
      <c r="E284" s="910">
        <v>0</v>
      </c>
      <c r="F284" s="914">
        <v>1</v>
      </c>
    </row>
    <row r="285" spans="1:6" x14ac:dyDescent="0.2">
      <c r="A285" s="913" t="s">
        <v>206</v>
      </c>
      <c r="B285" s="916"/>
      <c r="C285" s="910"/>
      <c r="D285" s="910"/>
      <c r="E285" s="910"/>
      <c r="F285" s="914"/>
    </row>
    <row r="286" spans="1:6" x14ac:dyDescent="0.2">
      <c r="A286" s="915" t="s">
        <v>1020</v>
      </c>
      <c r="B286" s="916">
        <v>41939</v>
      </c>
      <c r="C286" s="910">
        <v>810000</v>
      </c>
      <c r="D286" s="910">
        <v>810000</v>
      </c>
      <c r="E286" s="910">
        <v>0</v>
      </c>
      <c r="F286" s="914">
        <v>1</v>
      </c>
    </row>
    <row r="287" spans="1:6" x14ac:dyDescent="0.2">
      <c r="A287" s="913" t="s">
        <v>211</v>
      </c>
      <c r="B287" s="916"/>
      <c r="C287" s="910"/>
      <c r="D287" s="910"/>
      <c r="E287" s="910"/>
      <c r="F287" s="914"/>
    </row>
    <row r="288" spans="1:6" x14ac:dyDescent="0.2">
      <c r="A288" s="915" t="s">
        <v>212</v>
      </c>
      <c r="B288" s="916">
        <v>41650</v>
      </c>
      <c r="C288" s="910">
        <v>5545000</v>
      </c>
      <c r="D288" s="910">
        <v>5545000</v>
      </c>
      <c r="E288" s="910">
        <v>0</v>
      </c>
      <c r="F288" s="914">
        <v>1</v>
      </c>
    </row>
    <row r="289" spans="1:6" x14ac:dyDescent="0.2">
      <c r="A289" s="913" t="s">
        <v>209</v>
      </c>
      <c r="B289" s="916"/>
      <c r="C289" s="910"/>
      <c r="D289" s="910"/>
      <c r="E289" s="910"/>
      <c r="F289" s="914"/>
    </row>
    <row r="290" spans="1:6" x14ac:dyDescent="0.2">
      <c r="A290" s="915" t="s">
        <v>210</v>
      </c>
      <c r="B290" s="916">
        <v>41650</v>
      </c>
      <c r="C290" s="910">
        <v>19360400</v>
      </c>
      <c r="D290" s="910">
        <v>19360400</v>
      </c>
      <c r="E290" s="910">
        <v>0</v>
      </c>
      <c r="F290" s="914">
        <v>1</v>
      </c>
    </row>
    <row r="291" spans="1:6" x14ac:dyDescent="0.2">
      <c r="A291" s="913" t="s">
        <v>207</v>
      </c>
      <c r="B291" s="916"/>
      <c r="C291" s="910"/>
      <c r="D291" s="910"/>
      <c r="E291" s="910"/>
      <c r="F291" s="914"/>
    </row>
    <row r="292" spans="1:6" x14ac:dyDescent="0.2">
      <c r="A292" s="915" t="s">
        <v>208</v>
      </c>
      <c r="B292" s="916">
        <v>41814</v>
      </c>
      <c r="C292" s="910">
        <v>502280800</v>
      </c>
      <c r="D292" s="910">
        <v>502247588</v>
      </c>
      <c r="E292" s="910">
        <v>33212</v>
      </c>
      <c r="F292" s="914">
        <v>0.99993387762383112</v>
      </c>
    </row>
    <row r="293" spans="1:6" x14ac:dyDescent="0.2">
      <c r="A293" s="913" t="s">
        <v>213</v>
      </c>
      <c r="B293" s="916"/>
      <c r="C293" s="910"/>
      <c r="D293" s="910"/>
      <c r="E293" s="910"/>
      <c r="F293" s="914"/>
    </row>
    <row r="294" spans="1:6" x14ac:dyDescent="0.2">
      <c r="A294" s="915" t="s">
        <v>1040</v>
      </c>
      <c r="B294" s="916">
        <v>41975</v>
      </c>
      <c r="C294" s="910">
        <v>692839272</v>
      </c>
      <c r="D294" s="910">
        <v>678164443</v>
      </c>
      <c r="E294" s="910">
        <v>14674829</v>
      </c>
      <c r="F294" s="914">
        <v>0.97881928811910646</v>
      </c>
    </row>
    <row r="295" spans="1:6" x14ac:dyDescent="0.2">
      <c r="A295" s="913" t="s">
        <v>258</v>
      </c>
      <c r="B295" s="916"/>
      <c r="C295" s="910"/>
      <c r="D295" s="910"/>
      <c r="E295" s="910"/>
      <c r="F295" s="914"/>
    </row>
    <row r="296" spans="1:6" x14ac:dyDescent="0.2">
      <c r="A296" s="915" t="s">
        <v>259</v>
      </c>
      <c r="B296" s="916">
        <v>42425</v>
      </c>
      <c r="C296" s="910">
        <v>0</v>
      </c>
      <c r="D296" s="910">
        <v>0</v>
      </c>
      <c r="E296" s="910">
        <v>0</v>
      </c>
      <c r="F296" s="914" t="e">
        <v>#DIV/0!</v>
      </c>
    </row>
    <row r="297" spans="1:6" x14ac:dyDescent="0.2">
      <c r="A297" s="913" t="s">
        <v>309</v>
      </c>
      <c r="B297" s="916"/>
      <c r="C297" s="910"/>
      <c r="D297" s="910"/>
      <c r="E297" s="910"/>
      <c r="F297" s="914"/>
    </row>
    <row r="298" spans="1:6" x14ac:dyDescent="0.2">
      <c r="A298" s="915" t="s">
        <v>77</v>
      </c>
      <c r="B298" s="916">
        <v>42321</v>
      </c>
      <c r="C298" s="910">
        <v>398614000</v>
      </c>
      <c r="D298" s="910">
        <v>398614000</v>
      </c>
      <c r="E298" s="910">
        <v>0</v>
      </c>
      <c r="F298" s="914">
        <v>1</v>
      </c>
    </row>
    <row r="299" spans="1:6" x14ac:dyDescent="0.2">
      <c r="A299" s="913" t="s">
        <v>234</v>
      </c>
      <c r="B299" s="916"/>
      <c r="C299" s="910"/>
      <c r="D299" s="910"/>
      <c r="E299" s="910"/>
      <c r="F299" s="914"/>
    </row>
    <row r="300" spans="1:6" x14ac:dyDescent="0.2">
      <c r="A300" s="915" t="s">
        <v>235</v>
      </c>
      <c r="B300" s="916">
        <v>41748</v>
      </c>
      <c r="C300" s="910">
        <v>430036764</v>
      </c>
      <c r="D300" s="910">
        <v>430036600</v>
      </c>
      <c r="E300" s="910">
        <v>164</v>
      </c>
      <c r="F300" s="914">
        <v>0.99999961863725684</v>
      </c>
    </row>
    <row r="301" spans="1:6" x14ac:dyDescent="0.2">
      <c r="A301" s="913" t="s">
        <v>214</v>
      </c>
      <c r="B301" s="916"/>
      <c r="C301" s="910"/>
      <c r="D301" s="910"/>
      <c r="E301" s="910"/>
      <c r="F301" s="914"/>
    </row>
    <row r="302" spans="1:6" x14ac:dyDescent="0.2">
      <c r="A302" s="915" t="s">
        <v>31</v>
      </c>
      <c r="B302" s="916">
        <v>41681</v>
      </c>
      <c r="C302" s="910">
        <v>6000000</v>
      </c>
      <c r="D302" s="910">
        <v>6000000</v>
      </c>
      <c r="E302" s="910">
        <v>0</v>
      </c>
      <c r="F302" s="914">
        <v>1</v>
      </c>
    </row>
    <row r="303" spans="1:6" x14ac:dyDescent="0.2">
      <c r="A303" s="913" t="s">
        <v>232</v>
      </c>
      <c r="B303" s="916"/>
      <c r="C303" s="910"/>
      <c r="D303" s="910"/>
      <c r="E303" s="910"/>
      <c r="F303" s="914"/>
    </row>
    <row r="304" spans="1:6" x14ac:dyDescent="0.2">
      <c r="A304" s="915" t="s">
        <v>233</v>
      </c>
      <c r="B304" s="916">
        <v>42005</v>
      </c>
      <c r="C304" s="910">
        <v>7937504</v>
      </c>
      <c r="D304" s="910">
        <v>5992064</v>
      </c>
      <c r="E304" s="910">
        <v>1945440</v>
      </c>
      <c r="F304" s="914">
        <v>0.75490532036267322</v>
      </c>
    </row>
    <row r="305" spans="1:6" x14ac:dyDescent="0.2">
      <c r="A305" s="913" t="s">
        <v>215</v>
      </c>
      <c r="B305" s="916"/>
      <c r="C305" s="910"/>
      <c r="D305" s="910"/>
      <c r="E305" s="910"/>
      <c r="F305" s="914"/>
    </row>
    <row r="306" spans="1:6" x14ac:dyDescent="0.2">
      <c r="A306" s="915" t="s">
        <v>1599</v>
      </c>
      <c r="B306" s="916">
        <v>41658</v>
      </c>
      <c r="C306" s="910">
        <v>15000000</v>
      </c>
      <c r="D306" s="910">
        <v>15000000</v>
      </c>
      <c r="E306" s="910">
        <v>0</v>
      </c>
      <c r="F306" s="914">
        <v>1</v>
      </c>
    </row>
    <row r="307" spans="1:6" x14ac:dyDescent="0.2">
      <c r="A307" s="913" t="s">
        <v>216</v>
      </c>
      <c r="B307" s="916"/>
      <c r="C307" s="910"/>
      <c r="D307" s="910"/>
      <c r="E307" s="910"/>
      <c r="F307" s="914"/>
    </row>
    <row r="308" spans="1:6" x14ac:dyDescent="0.2">
      <c r="A308" s="915" t="s">
        <v>217</v>
      </c>
      <c r="B308" s="916">
        <v>41985</v>
      </c>
      <c r="C308" s="910">
        <v>452974000</v>
      </c>
      <c r="D308" s="910">
        <v>355062557</v>
      </c>
      <c r="E308" s="910">
        <v>97911443</v>
      </c>
      <c r="F308" s="914">
        <v>0.7838475431260955</v>
      </c>
    </row>
    <row r="309" spans="1:6" x14ac:dyDescent="0.2">
      <c r="A309" s="913" t="s">
        <v>218</v>
      </c>
      <c r="B309" s="916"/>
      <c r="C309" s="910"/>
      <c r="D309" s="910"/>
      <c r="E309" s="910"/>
      <c r="F309" s="914"/>
    </row>
    <row r="310" spans="1:6" x14ac:dyDescent="0.2">
      <c r="A310" s="915" t="s">
        <v>219</v>
      </c>
      <c r="B310" s="916">
        <v>41980</v>
      </c>
      <c r="C310" s="910">
        <v>95000000</v>
      </c>
      <c r="D310" s="910">
        <v>88983693</v>
      </c>
      <c r="E310" s="910">
        <v>6016307</v>
      </c>
      <c r="F310" s="914">
        <v>0.936670452631579</v>
      </c>
    </row>
    <row r="311" spans="1:6" x14ac:dyDescent="0.2">
      <c r="A311" s="913" t="s">
        <v>220</v>
      </c>
      <c r="B311" s="916"/>
      <c r="C311" s="910"/>
      <c r="D311" s="910"/>
      <c r="E311" s="910"/>
      <c r="F311" s="914"/>
    </row>
    <row r="312" spans="1:6" x14ac:dyDescent="0.2">
      <c r="A312" s="915" t="s">
        <v>1150</v>
      </c>
      <c r="B312" s="916">
        <v>41641</v>
      </c>
      <c r="C312" s="910">
        <v>63128000</v>
      </c>
      <c r="D312" s="910">
        <v>63128000</v>
      </c>
      <c r="E312" s="910">
        <v>0</v>
      </c>
      <c r="F312" s="914">
        <v>1</v>
      </c>
    </row>
    <row r="313" spans="1:6" x14ac:dyDescent="0.2">
      <c r="A313" s="913" t="s">
        <v>227</v>
      </c>
      <c r="B313" s="916"/>
      <c r="C313" s="910"/>
      <c r="D313" s="910"/>
      <c r="E313" s="910"/>
      <c r="F313" s="914"/>
    </row>
    <row r="314" spans="1:6" x14ac:dyDescent="0.2">
      <c r="A314" s="915" t="s">
        <v>228</v>
      </c>
      <c r="B314" s="916">
        <v>41658</v>
      </c>
      <c r="C314" s="910">
        <v>5000000</v>
      </c>
      <c r="D314" s="910">
        <v>5000000</v>
      </c>
      <c r="E314" s="910">
        <v>0</v>
      </c>
      <c r="F314" s="914">
        <v>1</v>
      </c>
    </row>
    <row r="315" spans="1:6" x14ac:dyDescent="0.2">
      <c r="A315" s="913" t="s">
        <v>223</v>
      </c>
      <c r="B315" s="916"/>
      <c r="C315" s="910"/>
      <c r="D315" s="910"/>
      <c r="E315" s="910"/>
      <c r="F315" s="914"/>
    </row>
    <row r="316" spans="1:6" x14ac:dyDescent="0.2">
      <c r="A316" s="915" t="s">
        <v>224</v>
      </c>
      <c r="B316" s="916">
        <v>41658</v>
      </c>
      <c r="C316" s="910">
        <v>5000000</v>
      </c>
      <c r="D316" s="910">
        <v>5000000</v>
      </c>
      <c r="E316" s="910">
        <v>0</v>
      </c>
      <c r="F316" s="914">
        <v>1</v>
      </c>
    </row>
    <row r="317" spans="1:6" x14ac:dyDescent="0.2">
      <c r="A317" s="913" t="s">
        <v>231</v>
      </c>
      <c r="B317" s="916"/>
      <c r="C317" s="910"/>
      <c r="D317" s="910"/>
      <c r="E317" s="910"/>
      <c r="F317" s="914"/>
    </row>
    <row r="318" spans="1:6" x14ac:dyDescent="0.2">
      <c r="A318" s="915" t="s">
        <v>1042</v>
      </c>
      <c r="B318" s="916">
        <v>41797</v>
      </c>
      <c r="C318" s="910">
        <v>70000000</v>
      </c>
      <c r="D318" s="910">
        <v>69658711</v>
      </c>
      <c r="E318" s="910">
        <v>341289</v>
      </c>
      <c r="F318" s="914">
        <v>0.99512444285714285</v>
      </c>
    </row>
    <row r="319" spans="1:6" x14ac:dyDescent="0.2">
      <c r="A319" s="913" t="s">
        <v>225</v>
      </c>
      <c r="B319" s="916"/>
      <c r="C319" s="910"/>
      <c r="D319" s="910"/>
      <c r="E319" s="910"/>
      <c r="F319" s="914"/>
    </row>
    <row r="320" spans="1:6" x14ac:dyDescent="0.2">
      <c r="A320" s="915" t="s">
        <v>226</v>
      </c>
      <c r="B320" s="916">
        <v>41658</v>
      </c>
      <c r="C320" s="910">
        <v>5000000</v>
      </c>
      <c r="D320" s="910">
        <v>5000000</v>
      </c>
      <c r="E320" s="910">
        <v>0</v>
      </c>
      <c r="F320" s="914">
        <v>1</v>
      </c>
    </row>
    <row r="321" spans="1:6" x14ac:dyDescent="0.2">
      <c r="A321" s="913" t="s">
        <v>221</v>
      </c>
      <c r="B321" s="916"/>
      <c r="C321" s="910"/>
      <c r="D321" s="910"/>
      <c r="E321" s="910"/>
      <c r="F321" s="914"/>
    </row>
    <row r="322" spans="1:6" x14ac:dyDescent="0.2">
      <c r="A322" s="915" t="s">
        <v>222</v>
      </c>
      <c r="B322" s="916">
        <v>41658</v>
      </c>
      <c r="C322" s="910">
        <v>5000000</v>
      </c>
      <c r="D322" s="910">
        <v>5000000</v>
      </c>
      <c r="E322" s="910">
        <v>0</v>
      </c>
      <c r="F322" s="914">
        <v>1</v>
      </c>
    </row>
    <row r="323" spans="1:6" x14ac:dyDescent="0.2">
      <c r="A323" s="913" t="s">
        <v>242</v>
      </c>
      <c r="B323" s="916"/>
      <c r="C323" s="910"/>
      <c r="D323" s="910"/>
      <c r="E323" s="910"/>
      <c r="F323" s="914"/>
    </row>
    <row r="324" spans="1:6" x14ac:dyDescent="0.2">
      <c r="A324" s="915" t="s">
        <v>235</v>
      </c>
      <c r="B324" s="916">
        <v>41751</v>
      </c>
      <c r="C324" s="910">
        <v>3017160</v>
      </c>
      <c r="D324" s="910">
        <v>3017160</v>
      </c>
      <c r="E324" s="910">
        <v>0</v>
      </c>
      <c r="F324" s="914">
        <v>1</v>
      </c>
    </row>
    <row r="325" spans="1:6" x14ac:dyDescent="0.2">
      <c r="A325" s="913" t="s">
        <v>240</v>
      </c>
      <c r="B325" s="916"/>
      <c r="C325" s="910"/>
      <c r="D325" s="910"/>
      <c r="E325" s="910"/>
      <c r="F325" s="914"/>
    </row>
    <row r="326" spans="1:6" x14ac:dyDescent="0.2">
      <c r="A326" s="915" t="s">
        <v>290</v>
      </c>
      <c r="B326" s="916">
        <v>42019</v>
      </c>
      <c r="C326" s="910">
        <v>90000000</v>
      </c>
      <c r="D326" s="910">
        <v>42574877.200000003</v>
      </c>
      <c r="E326" s="910">
        <v>47425122.799999997</v>
      </c>
      <c r="F326" s="914">
        <v>0.47305419111111113</v>
      </c>
    </row>
    <row r="327" spans="1:6" x14ac:dyDescent="0.2">
      <c r="A327" s="913" t="s">
        <v>229</v>
      </c>
      <c r="B327" s="916"/>
      <c r="C327" s="910"/>
      <c r="D327" s="910"/>
      <c r="E327" s="910"/>
      <c r="F327" s="914"/>
    </row>
    <row r="328" spans="1:6" x14ac:dyDescent="0.2">
      <c r="A328" s="915" t="s">
        <v>1043</v>
      </c>
      <c r="B328" s="916">
        <v>41664</v>
      </c>
      <c r="C328" s="910">
        <v>5000000</v>
      </c>
      <c r="D328" s="910">
        <v>5000000</v>
      </c>
      <c r="E328" s="910">
        <v>0</v>
      </c>
      <c r="F328" s="914">
        <v>1</v>
      </c>
    </row>
    <row r="329" spans="1:6" x14ac:dyDescent="0.2">
      <c r="A329" s="913" t="s">
        <v>239</v>
      </c>
      <c r="B329" s="916"/>
      <c r="C329" s="910"/>
      <c r="D329" s="910"/>
      <c r="E329" s="910"/>
      <c r="F329" s="914"/>
    </row>
    <row r="330" spans="1:6" x14ac:dyDescent="0.2">
      <c r="A330" s="915" t="s">
        <v>152</v>
      </c>
      <c r="B330" s="916">
        <v>41754</v>
      </c>
      <c r="C330" s="910">
        <v>3743343</v>
      </c>
      <c r="D330" s="910">
        <v>3743343</v>
      </c>
      <c r="E330" s="910">
        <v>0</v>
      </c>
      <c r="F330" s="914">
        <v>1</v>
      </c>
    </row>
    <row r="331" spans="1:6" x14ac:dyDescent="0.2">
      <c r="A331" s="913" t="s">
        <v>405</v>
      </c>
      <c r="B331" s="916"/>
      <c r="C331" s="910"/>
      <c r="D331" s="910"/>
      <c r="E331" s="910"/>
      <c r="F331" s="914"/>
    </row>
    <row r="332" spans="1:6" x14ac:dyDescent="0.2">
      <c r="A332" s="915" t="s">
        <v>238</v>
      </c>
      <c r="B332" s="916">
        <v>42026</v>
      </c>
      <c r="C332" s="910">
        <v>1620000</v>
      </c>
      <c r="D332" s="910">
        <v>354000</v>
      </c>
      <c r="E332" s="910">
        <v>1266000</v>
      </c>
      <c r="F332" s="914">
        <v>0.21851851851851853</v>
      </c>
    </row>
    <row r="333" spans="1:6" x14ac:dyDescent="0.2">
      <c r="A333" s="913" t="s">
        <v>236</v>
      </c>
      <c r="B333" s="916"/>
      <c r="C333" s="910"/>
      <c r="D333" s="910"/>
      <c r="E333" s="910"/>
      <c r="F333" s="914"/>
    </row>
    <row r="334" spans="1:6" x14ac:dyDescent="0.2">
      <c r="A334" s="915" t="s">
        <v>186</v>
      </c>
      <c r="B334" s="916">
        <v>41713</v>
      </c>
      <c r="C334" s="910">
        <v>32048480</v>
      </c>
      <c r="D334" s="910">
        <v>32048480</v>
      </c>
      <c r="E334" s="910">
        <v>0</v>
      </c>
      <c r="F334" s="914">
        <v>1</v>
      </c>
    </row>
    <row r="335" spans="1:6" x14ac:dyDescent="0.2">
      <c r="A335" s="913" t="s">
        <v>241</v>
      </c>
      <c r="B335" s="916"/>
      <c r="C335" s="910"/>
      <c r="D335" s="910"/>
      <c r="E335" s="910"/>
      <c r="F335" s="914"/>
    </row>
    <row r="336" spans="1:6" x14ac:dyDescent="0.2">
      <c r="A336" s="915" t="s">
        <v>1044</v>
      </c>
      <c r="B336" s="916">
        <v>41720</v>
      </c>
      <c r="C336" s="910">
        <v>3480000</v>
      </c>
      <c r="D336" s="910">
        <v>3480000</v>
      </c>
      <c r="E336" s="910">
        <v>0</v>
      </c>
      <c r="F336" s="914">
        <v>1</v>
      </c>
    </row>
    <row r="337" spans="1:6" x14ac:dyDescent="0.2">
      <c r="A337" s="913" t="s">
        <v>237</v>
      </c>
      <c r="B337" s="916"/>
      <c r="C337" s="910"/>
      <c r="D337" s="910"/>
      <c r="E337" s="910"/>
      <c r="F337" s="914"/>
    </row>
    <row r="338" spans="1:6" x14ac:dyDescent="0.2">
      <c r="A338" s="915" t="s">
        <v>186</v>
      </c>
      <c r="B338" s="916">
        <v>41736</v>
      </c>
      <c r="C338" s="910">
        <v>126308000</v>
      </c>
      <c r="D338" s="910">
        <v>126308000</v>
      </c>
      <c r="E338" s="910">
        <v>0</v>
      </c>
      <c r="F338" s="914">
        <v>1</v>
      </c>
    </row>
    <row r="339" spans="1:6" x14ac:dyDescent="0.2">
      <c r="A339" s="913" t="s">
        <v>230</v>
      </c>
      <c r="B339" s="916"/>
      <c r="C339" s="910"/>
      <c r="D339" s="910"/>
      <c r="E339" s="910"/>
      <c r="F339" s="914"/>
    </row>
    <row r="340" spans="1:6" x14ac:dyDescent="0.2">
      <c r="A340" s="915" t="s">
        <v>1045</v>
      </c>
      <c r="B340" s="916">
        <v>41668</v>
      </c>
      <c r="C340" s="910">
        <v>3500000</v>
      </c>
      <c r="D340" s="910">
        <v>3500000</v>
      </c>
      <c r="E340" s="910">
        <v>0</v>
      </c>
      <c r="F340" s="914">
        <v>1</v>
      </c>
    </row>
    <row r="341" spans="1:6" x14ac:dyDescent="0.2">
      <c r="A341" s="913" t="s">
        <v>243</v>
      </c>
      <c r="B341" s="916"/>
      <c r="C341" s="910"/>
      <c r="D341" s="910"/>
      <c r="E341" s="910"/>
      <c r="F341" s="914"/>
    </row>
    <row r="342" spans="1:6" x14ac:dyDescent="0.2">
      <c r="A342" s="915" t="s">
        <v>244</v>
      </c>
      <c r="B342" s="916">
        <v>41789</v>
      </c>
      <c r="C342" s="910">
        <v>803432165</v>
      </c>
      <c r="D342" s="910">
        <v>741115935</v>
      </c>
      <c r="E342" s="910">
        <v>62316230</v>
      </c>
      <c r="F342" s="914">
        <v>0.92243747174349189</v>
      </c>
    </row>
    <row r="343" spans="1:6" x14ac:dyDescent="0.2">
      <c r="A343" s="913" t="s">
        <v>278</v>
      </c>
      <c r="B343" s="916"/>
      <c r="C343" s="910"/>
      <c r="D343" s="910"/>
      <c r="E343" s="910"/>
      <c r="F343" s="914"/>
    </row>
    <row r="344" spans="1:6" x14ac:dyDescent="0.2">
      <c r="A344" s="915" t="s">
        <v>15</v>
      </c>
      <c r="B344" s="916">
        <v>42139</v>
      </c>
      <c r="C344" s="910">
        <v>7740000</v>
      </c>
      <c r="D344" s="910">
        <v>7740000</v>
      </c>
      <c r="E344" s="910">
        <v>0</v>
      </c>
      <c r="F344" s="914">
        <v>1</v>
      </c>
    </row>
    <row r="345" spans="1:6" x14ac:dyDescent="0.2">
      <c r="A345" s="913" t="s">
        <v>171</v>
      </c>
      <c r="B345" s="916"/>
      <c r="C345" s="910"/>
      <c r="D345" s="910"/>
      <c r="E345" s="910"/>
      <c r="F345" s="914"/>
    </row>
    <row r="346" spans="1:6" x14ac:dyDescent="0.2">
      <c r="A346" s="915" t="s">
        <v>1034</v>
      </c>
      <c r="B346" s="916">
        <v>42008</v>
      </c>
      <c r="C346" s="910">
        <v>29819999</v>
      </c>
      <c r="D346" s="910">
        <v>29819999</v>
      </c>
      <c r="E346" s="910">
        <v>0</v>
      </c>
      <c r="F346" s="914">
        <v>1</v>
      </c>
    </row>
    <row r="347" spans="1:6" x14ac:dyDescent="0.2">
      <c r="A347" s="913" t="s">
        <v>252</v>
      </c>
      <c r="B347" s="916"/>
      <c r="C347" s="910"/>
      <c r="D347" s="910"/>
      <c r="E347" s="910"/>
      <c r="F347" s="914"/>
    </row>
    <row r="348" spans="1:6" x14ac:dyDescent="0.2">
      <c r="A348" s="915" t="s">
        <v>86</v>
      </c>
      <c r="B348" s="916">
        <v>42081</v>
      </c>
      <c r="C348" s="910">
        <v>1197000</v>
      </c>
      <c r="D348" s="910">
        <v>1197000</v>
      </c>
      <c r="E348" s="910">
        <v>0</v>
      </c>
      <c r="F348" s="914">
        <v>1</v>
      </c>
    </row>
    <row r="349" spans="1:6" x14ac:dyDescent="0.2">
      <c r="A349" s="913" t="s">
        <v>270</v>
      </c>
      <c r="B349" s="916"/>
      <c r="C349" s="910"/>
      <c r="D349" s="910"/>
      <c r="E349" s="910"/>
      <c r="F349" s="914"/>
    </row>
    <row r="350" spans="1:6" x14ac:dyDescent="0.2">
      <c r="A350" s="915" t="s">
        <v>1031</v>
      </c>
      <c r="B350" s="916">
        <v>41891</v>
      </c>
      <c r="C350" s="910">
        <v>4000000</v>
      </c>
      <c r="D350" s="910">
        <v>4000000</v>
      </c>
      <c r="E350" s="910">
        <v>0</v>
      </c>
      <c r="F350" s="914">
        <v>1</v>
      </c>
    </row>
    <row r="351" spans="1:6" x14ac:dyDescent="0.2">
      <c r="A351" s="913" t="s">
        <v>254</v>
      </c>
      <c r="B351" s="916"/>
      <c r="C351" s="910"/>
      <c r="D351" s="910"/>
      <c r="E351" s="910"/>
      <c r="F351" s="914"/>
    </row>
    <row r="352" spans="1:6" x14ac:dyDescent="0.2">
      <c r="A352" s="915" t="s">
        <v>1033</v>
      </c>
      <c r="B352" s="916">
        <v>42006</v>
      </c>
      <c r="C352" s="910">
        <v>42800000</v>
      </c>
      <c r="D352" s="910">
        <v>42800000</v>
      </c>
      <c r="E352" s="910">
        <v>0</v>
      </c>
      <c r="F352" s="914">
        <v>1</v>
      </c>
    </row>
    <row r="353" spans="1:6" x14ac:dyDescent="0.2">
      <c r="A353" s="913" t="s">
        <v>267</v>
      </c>
      <c r="B353" s="916"/>
      <c r="C353" s="910"/>
      <c r="D353" s="910"/>
      <c r="E353" s="910"/>
      <c r="F353" s="914"/>
    </row>
    <row r="354" spans="1:6" x14ac:dyDescent="0.2">
      <c r="A354" s="915" t="s">
        <v>1516</v>
      </c>
      <c r="B354" s="916">
        <v>42013</v>
      </c>
      <c r="C354" s="910">
        <v>38830000</v>
      </c>
      <c r="D354" s="910">
        <v>38830000</v>
      </c>
      <c r="E354" s="910">
        <v>0</v>
      </c>
      <c r="F354" s="914">
        <v>1</v>
      </c>
    </row>
    <row r="355" spans="1:6" x14ac:dyDescent="0.2">
      <c r="A355" s="913" t="s">
        <v>257</v>
      </c>
      <c r="B355" s="916"/>
      <c r="C355" s="910"/>
      <c r="D355" s="910"/>
      <c r="E355" s="910"/>
      <c r="F355" s="914"/>
    </row>
    <row r="356" spans="1:6" x14ac:dyDescent="0.2">
      <c r="A356" s="915" t="s">
        <v>1035</v>
      </c>
      <c r="B356" s="916">
        <v>42008</v>
      </c>
      <c r="C356" s="910">
        <v>40997000</v>
      </c>
      <c r="D356" s="910">
        <v>40997000</v>
      </c>
      <c r="E356" s="910">
        <v>0</v>
      </c>
      <c r="F356" s="914">
        <v>1</v>
      </c>
    </row>
    <row r="357" spans="1:6" x14ac:dyDescent="0.2">
      <c r="A357" s="913" t="s">
        <v>245</v>
      </c>
      <c r="B357" s="916"/>
      <c r="C357" s="910"/>
      <c r="D357" s="910"/>
      <c r="E357" s="910"/>
      <c r="F357" s="914"/>
    </row>
    <row r="358" spans="1:6" x14ac:dyDescent="0.2">
      <c r="A358" s="915" t="s">
        <v>226</v>
      </c>
      <c r="B358" s="916">
        <v>42008</v>
      </c>
      <c r="C358" s="910">
        <v>55000000</v>
      </c>
      <c r="D358" s="910">
        <v>54333333</v>
      </c>
      <c r="E358" s="910">
        <v>666667</v>
      </c>
      <c r="F358" s="914">
        <v>0.98787878181818178</v>
      </c>
    </row>
    <row r="359" spans="1:6" x14ac:dyDescent="0.2">
      <c r="A359" s="913" t="s">
        <v>247</v>
      </c>
      <c r="B359" s="916"/>
      <c r="C359" s="910"/>
      <c r="D359" s="910"/>
      <c r="E359" s="910"/>
      <c r="F359" s="914"/>
    </row>
    <row r="360" spans="1:6" x14ac:dyDescent="0.2">
      <c r="A360" s="915" t="s">
        <v>1515</v>
      </c>
      <c r="B360" s="916">
        <v>42008</v>
      </c>
      <c r="C360" s="910">
        <v>55000000</v>
      </c>
      <c r="D360" s="910">
        <v>54666666</v>
      </c>
      <c r="E360" s="910">
        <v>333334</v>
      </c>
      <c r="F360" s="914">
        <v>0.99393938181818187</v>
      </c>
    </row>
    <row r="361" spans="1:6" x14ac:dyDescent="0.2">
      <c r="A361" s="913" t="s">
        <v>249</v>
      </c>
      <c r="B361" s="916"/>
      <c r="C361" s="910"/>
      <c r="D361" s="910"/>
      <c r="E361" s="910"/>
      <c r="F361" s="914"/>
    </row>
    <row r="362" spans="1:6" x14ac:dyDescent="0.2">
      <c r="A362" s="915" t="s">
        <v>1045</v>
      </c>
      <c r="B362" s="916">
        <v>42008</v>
      </c>
      <c r="C362" s="910">
        <v>38500000</v>
      </c>
      <c r="D362" s="910">
        <v>38500000</v>
      </c>
      <c r="E362" s="910">
        <v>0</v>
      </c>
      <c r="F362" s="914">
        <v>1</v>
      </c>
    </row>
    <row r="363" spans="1:6" x14ac:dyDescent="0.2">
      <c r="A363" s="913" t="s">
        <v>246</v>
      </c>
      <c r="B363" s="916"/>
      <c r="C363" s="910"/>
      <c r="D363" s="910"/>
      <c r="E363" s="910"/>
      <c r="F363" s="914"/>
    </row>
    <row r="364" spans="1:6" x14ac:dyDescent="0.2">
      <c r="A364" s="915" t="s">
        <v>228</v>
      </c>
      <c r="B364" s="916">
        <v>42008</v>
      </c>
      <c r="C364" s="910">
        <v>55000000</v>
      </c>
      <c r="D364" s="910">
        <v>55000000</v>
      </c>
      <c r="E364" s="910">
        <v>0</v>
      </c>
      <c r="F364" s="914">
        <v>1</v>
      </c>
    </row>
    <row r="365" spans="1:6" x14ac:dyDescent="0.2">
      <c r="A365" s="913" t="s">
        <v>248</v>
      </c>
      <c r="B365" s="916"/>
      <c r="C365" s="910"/>
      <c r="D365" s="910"/>
      <c r="E365" s="910"/>
      <c r="F365" s="914"/>
    </row>
    <row r="366" spans="1:6" x14ac:dyDescent="0.2">
      <c r="A366" s="915" t="s">
        <v>224</v>
      </c>
      <c r="B366" s="916">
        <v>42008</v>
      </c>
      <c r="C366" s="910">
        <v>55000000</v>
      </c>
      <c r="D366" s="910">
        <v>55000000</v>
      </c>
      <c r="E366" s="910">
        <v>0</v>
      </c>
      <c r="F366" s="914">
        <v>1</v>
      </c>
    </row>
    <row r="367" spans="1:6" x14ac:dyDescent="0.2">
      <c r="A367" s="913" t="s">
        <v>268</v>
      </c>
      <c r="B367" s="916"/>
      <c r="C367" s="910"/>
      <c r="D367" s="910"/>
      <c r="E367" s="910"/>
      <c r="F367" s="914"/>
    </row>
    <row r="368" spans="1:6" x14ac:dyDescent="0.2">
      <c r="A368" s="915" t="s">
        <v>269</v>
      </c>
      <c r="B368" s="916">
        <v>42096</v>
      </c>
      <c r="C368" s="910">
        <v>16555000</v>
      </c>
      <c r="D368" s="910">
        <v>15762669</v>
      </c>
      <c r="E368" s="910">
        <v>792331</v>
      </c>
      <c r="F368" s="914">
        <v>0.95213947447900937</v>
      </c>
    </row>
    <row r="369" spans="1:6" x14ac:dyDescent="0.2">
      <c r="A369" s="913" t="s">
        <v>253</v>
      </c>
      <c r="B369" s="916"/>
      <c r="C369" s="910"/>
      <c r="D369" s="910"/>
      <c r="E369" s="910"/>
      <c r="F369" s="914"/>
    </row>
    <row r="370" spans="1:6" x14ac:dyDescent="0.2">
      <c r="A370" s="915" t="s">
        <v>140</v>
      </c>
      <c r="B370" s="916">
        <v>42008</v>
      </c>
      <c r="C370" s="910">
        <v>39600000</v>
      </c>
      <c r="D370" s="910">
        <v>24720000</v>
      </c>
      <c r="E370" s="910">
        <v>14880000</v>
      </c>
      <c r="F370" s="914">
        <v>0.62424242424242427</v>
      </c>
    </row>
    <row r="371" spans="1:6" x14ac:dyDescent="0.2">
      <c r="A371" s="913" t="s">
        <v>255</v>
      </c>
      <c r="B371" s="916"/>
      <c r="C371" s="910"/>
      <c r="D371" s="910"/>
      <c r="E371" s="910"/>
      <c r="F371" s="914"/>
    </row>
    <row r="372" spans="1:6" x14ac:dyDescent="0.2">
      <c r="A372" s="915" t="s">
        <v>1032</v>
      </c>
      <c r="B372" s="916">
        <v>41887</v>
      </c>
      <c r="C372" s="910">
        <v>51500000</v>
      </c>
      <c r="D372" s="910">
        <v>32788333</v>
      </c>
      <c r="E372" s="910">
        <v>18711667</v>
      </c>
      <c r="F372" s="914">
        <v>0.63666666019417473</v>
      </c>
    </row>
    <row r="373" spans="1:6" x14ac:dyDescent="0.2">
      <c r="A373" s="913" t="s">
        <v>250</v>
      </c>
      <c r="B373" s="916"/>
      <c r="C373" s="910"/>
      <c r="D373" s="910"/>
      <c r="E373" s="910"/>
      <c r="F373" s="914"/>
    </row>
    <row r="374" spans="1:6" x14ac:dyDescent="0.2">
      <c r="A374" s="915" t="s">
        <v>251</v>
      </c>
      <c r="B374" s="916">
        <v>42008</v>
      </c>
      <c r="C374" s="910">
        <v>16500000</v>
      </c>
      <c r="D374" s="910">
        <v>10300000</v>
      </c>
      <c r="E374" s="910">
        <v>6200000</v>
      </c>
      <c r="F374" s="914">
        <v>0.62424242424242427</v>
      </c>
    </row>
    <row r="375" spans="1:6" x14ac:dyDescent="0.2">
      <c r="A375" s="913" t="s">
        <v>256</v>
      </c>
      <c r="B375" s="916"/>
      <c r="C375" s="910"/>
      <c r="D375" s="910"/>
      <c r="E375" s="910"/>
      <c r="F375" s="914"/>
    </row>
    <row r="376" spans="1:6" x14ac:dyDescent="0.2">
      <c r="A376" s="915" t="s">
        <v>1395</v>
      </c>
      <c r="B376" s="916">
        <v>42006</v>
      </c>
      <c r="C376" s="910">
        <v>61800000</v>
      </c>
      <c r="D376" s="910">
        <v>54933333</v>
      </c>
      <c r="E376" s="910">
        <v>6866667</v>
      </c>
      <c r="F376" s="914">
        <v>0.88888888349514561</v>
      </c>
    </row>
    <row r="377" spans="1:6" x14ac:dyDescent="0.2">
      <c r="A377" s="913" t="s">
        <v>264</v>
      </c>
      <c r="B377" s="916"/>
      <c r="C377" s="910"/>
      <c r="D377" s="910"/>
      <c r="E377" s="910"/>
      <c r="F377" s="914"/>
    </row>
    <row r="378" spans="1:6" x14ac:dyDescent="0.2">
      <c r="A378" s="915" t="s">
        <v>186</v>
      </c>
      <c r="B378" s="916">
        <v>41748</v>
      </c>
      <c r="C378" s="910">
        <v>340808000</v>
      </c>
      <c r="D378" s="910">
        <v>340808000</v>
      </c>
      <c r="E378" s="910">
        <v>0</v>
      </c>
      <c r="F378" s="914">
        <v>1</v>
      </c>
    </row>
    <row r="379" spans="1:6" x14ac:dyDescent="0.2">
      <c r="A379" s="913" t="s">
        <v>262</v>
      </c>
      <c r="B379" s="916"/>
      <c r="C379" s="910"/>
      <c r="D379" s="910"/>
      <c r="E379" s="910"/>
      <c r="F379" s="914"/>
    </row>
    <row r="380" spans="1:6" x14ac:dyDescent="0.2">
      <c r="A380" s="915" t="s">
        <v>263</v>
      </c>
      <c r="B380" s="916">
        <v>41748</v>
      </c>
      <c r="C380" s="910">
        <v>28900000</v>
      </c>
      <c r="D380" s="910">
        <v>28900000</v>
      </c>
      <c r="E380" s="910">
        <v>0</v>
      </c>
      <c r="F380" s="914">
        <v>1</v>
      </c>
    </row>
    <row r="381" spans="1:6" x14ac:dyDescent="0.2">
      <c r="A381" s="913" t="s">
        <v>260</v>
      </c>
      <c r="B381" s="916"/>
      <c r="C381" s="910"/>
      <c r="D381" s="910"/>
      <c r="E381" s="910"/>
      <c r="F381" s="914"/>
    </row>
    <row r="382" spans="1:6" x14ac:dyDescent="0.2">
      <c r="A382" s="915" t="s">
        <v>261</v>
      </c>
      <c r="B382" s="916">
        <v>41738</v>
      </c>
      <c r="C382" s="910">
        <v>325128875</v>
      </c>
      <c r="D382" s="910">
        <v>325028452</v>
      </c>
      <c r="E382" s="910">
        <v>100423</v>
      </c>
      <c r="F382" s="914">
        <v>0.99969112863322274</v>
      </c>
    </row>
    <row r="383" spans="1:6" x14ac:dyDescent="0.2">
      <c r="A383" s="913" t="s">
        <v>273</v>
      </c>
      <c r="B383" s="916"/>
      <c r="C383" s="910"/>
      <c r="D383" s="910"/>
      <c r="E383" s="910"/>
      <c r="F383" s="914"/>
    </row>
    <row r="384" spans="1:6" x14ac:dyDescent="0.2">
      <c r="A384" s="915" t="s">
        <v>126</v>
      </c>
      <c r="B384" s="916">
        <v>42012</v>
      </c>
      <c r="C384" s="910">
        <v>11000000</v>
      </c>
      <c r="D384" s="910">
        <v>2672466</v>
      </c>
      <c r="E384" s="910">
        <v>8327534</v>
      </c>
      <c r="F384" s="914">
        <v>0.24295145454545455</v>
      </c>
    </row>
    <row r="385" spans="1:6" x14ac:dyDescent="0.2">
      <c r="A385" s="913" t="s">
        <v>288</v>
      </c>
      <c r="B385" s="916"/>
      <c r="C385" s="910"/>
      <c r="D385" s="910"/>
      <c r="E385" s="910"/>
      <c r="F385" s="914"/>
    </row>
    <row r="386" spans="1:6" x14ac:dyDescent="0.2">
      <c r="A386" s="915" t="s">
        <v>12</v>
      </c>
      <c r="B386" s="916">
        <v>42102</v>
      </c>
      <c r="C386" s="910">
        <v>1607400</v>
      </c>
      <c r="D386" s="910">
        <v>0</v>
      </c>
      <c r="E386" s="910">
        <v>1607400</v>
      </c>
      <c r="F386" s="914">
        <v>0</v>
      </c>
    </row>
    <row r="387" spans="1:6" x14ac:dyDescent="0.2">
      <c r="A387" s="913" t="s">
        <v>266</v>
      </c>
      <c r="B387" s="916"/>
      <c r="C387" s="910"/>
      <c r="D387" s="910"/>
      <c r="E387" s="910"/>
      <c r="F387" s="914"/>
    </row>
    <row r="388" spans="1:6" x14ac:dyDescent="0.2">
      <c r="A388" s="915" t="s">
        <v>1030</v>
      </c>
      <c r="B388" s="916">
        <v>41969</v>
      </c>
      <c r="C388" s="910">
        <v>4982000</v>
      </c>
      <c r="D388" s="910">
        <v>2832000</v>
      </c>
      <c r="E388" s="910">
        <v>2150000</v>
      </c>
      <c r="F388" s="914">
        <v>0.56844640706543559</v>
      </c>
    </row>
    <row r="389" spans="1:6" x14ac:dyDescent="0.2">
      <c r="A389" s="913" t="s">
        <v>271</v>
      </c>
      <c r="B389" s="916"/>
      <c r="C389" s="910"/>
      <c r="D389" s="910"/>
      <c r="E389" s="910"/>
      <c r="F389" s="914"/>
    </row>
    <row r="390" spans="1:6" x14ac:dyDescent="0.2">
      <c r="A390" s="915" t="s">
        <v>272</v>
      </c>
      <c r="B390" s="916">
        <v>41951</v>
      </c>
      <c r="C390" s="910">
        <v>28000000</v>
      </c>
      <c r="D390" s="910">
        <v>10978240</v>
      </c>
      <c r="E390" s="910">
        <v>17021760</v>
      </c>
      <c r="F390" s="914">
        <v>0.39207999999999998</v>
      </c>
    </row>
    <row r="391" spans="1:6" x14ac:dyDescent="0.2">
      <c r="A391" s="913" t="s">
        <v>400</v>
      </c>
      <c r="B391" s="916"/>
      <c r="C391" s="910"/>
      <c r="D391" s="910"/>
      <c r="E391" s="910"/>
      <c r="F391" s="914"/>
    </row>
    <row r="392" spans="1:6" x14ac:dyDescent="0.2">
      <c r="A392" s="915" t="s">
        <v>198</v>
      </c>
      <c r="B392" s="916">
        <v>42096</v>
      </c>
      <c r="C392" s="910">
        <v>10564000</v>
      </c>
      <c r="D392" s="910">
        <v>10055157</v>
      </c>
      <c r="E392" s="910">
        <v>508843</v>
      </c>
      <c r="F392" s="914">
        <v>0.95183235516849674</v>
      </c>
    </row>
    <row r="393" spans="1:6" x14ac:dyDescent="0.2">
      <c r="A393" s="913" t="s">
        <v>274</v>
      </c>
      <c r="B393" s="916"/>
      <c r="C393" s="910"/>
      <c r="D393" s="910"/>
      <c r="E393" s="910"/>
      <c r="F393" s="914"/>
    </row>
    <row r="394" spans="1:6" x14ac:dyDescent="0.2">
      <c r="A394" s="915" t="s">
        <v>275</v>
      </c>
      <c r="B394" s="916">
        <v>42116</v>
      </c>
      <c r="C394" s="910">
        <v>2122000</v>
      </c>
      <c r="D394" s="910">
        <v>2122000</v>
      </c>
      <c r="E394" s="910">
        <v>0</v>
      </c>
      <c r="F394" s="914">
        <v>1</v>
      </c>
    </row>
    <row r="395" spans="1:6" x14ac:dyDescent="0.2">
      <c r="A395" s="913" t="s">
        <v>279</v>
      </c>
      <c r="B395" s="916"/>
      <c r="C395" s="910"/>
      <c r="D395" s="910"/>
      <c r="E395" s="910"/>
      <c r="F395" s="914"/>
    </row>
    <row r="396" spans="1:6" x14ac:dyDescent="0.2">
      <c r="A396" s="915" t="s">
        <v>53</v>
      </c>
      <c r="B396" s="916">
        <v>42091</v>
      </c>
      <c r="C396" s="910">
        <v>31218000</v>
      </c>
      <c r="D396" s="910">
        <v>29571427</v>
      </c>
      <c r="E396" s="910">
        <v>1646573</v>
      </c>
      <c r="F396" s="914">
        <v>0.9472556537894804</v>
      </c>
    </row>
    <row r="397" spans="1:6" x14ac:dyDescent="0.2">
      <c r="A397" s="913" t="s">
        <v>282</v>
      </c>
      <c r="B397" s="916"/>
      <c r="C397" s="910"/>
      <c r="D397" s="910"/>
      <c r="E397" s="910"/>
      <c r="F397" s="914"/>
    </row>
    <row r="398" spans="1:6" x14ac:dyDescent="0.2">
      <c r="A398" s="915" t="s">
        <v>418</v>
      </c>
      <c r="B398" s="916">
        <v>41901</v>
      </c>
      <c r="C398" s="910">
        <v>18217800</v>
      </c>
      <c r="D398" s="910">
        <v>18217800</v>
      </c>
      <c r="E398" s="910">
        <v>0</v>
      </c>
      <c r="F398" s="914">
        <v>1</v>
      </c>
    </row>
    <row r="399" spans="1:6" x14ac:dyDescent="0.2">
      <c r="A399" s="913" t="s">
        <v>280</v>
      </c>
      <c r="B399" s="916"/>
      <c r="C399" s="910"/>
      <c r="D399" s="910"/>
      <c r="E399" s="910"/>
      <c r="F399" s="914"/>
    </row>
    <row r="400" spans="1:6" x14ac:dyDescent="0.2">
      <c r="A400" s="915" t="s">
        <v>281</v>
      </c>
      <c r="B400" s="916">
        <v>41817</v>
      </c>
      <c r="C400" s="910">
        <v>1700007</v>
      </c>
      <c r="D400" s="910">
        <v>1700000</v>
      </c>
      <c r="E400" s="910">
        <v>7</v>
      </c>
      <c r="F400" s="914">
        <v>0.99999588236989612</v>
      </c>
    </row>
    <row r="401" spans="1:6" x14ac:dyDescent="0.2">
      <c r="A401" s="913" t="s">
        <v>276</v>
      </c>
      <c r="B401" s="916"/>
      <c r="C401" s="910"/>
      <c r="D401" s="910"/>
      <c r="E401" s="910"/>
      <c r="F401" s="914"/>
    </row>
    <row r="402" spans="1:6" x14ac:dyDescent="0.2">
      <c r="A402" s="915" t="s">
        <v>277</v>
      </c>
      <c r="B402" s="916">
        <v>42117</v>
      </c>
      <c r="C402" s="910">
        <v>32631000</v>
      </c>
      <c r="D402" s="910">
        <v>32594631</v>
      </c>
      <c r="E402" s="910">
        <v>36369</v>
      </c>
      <c r="F402" s="914">
        <v>0.99888544635469334</v>
      </c>
    </row>
    <row r="403" spans="1:6" x14ac:dyDescent="0.2">
      <c r="A403" s="913" t="s">
        <v>283</v>
      </c>
      <c r="B403" s="916"/>
      <c r="C403" s="910"/>
      <c r="D403" s="910"/>
      <c r="E403" s="910"/>
      <c r="F403" s="914"/>
    </row>
    <row r="404" spans="1:6" x14ac:dyDescent="0.2">
      <c r="A404" s="915" t="s">
        <v>284</v>
      </c>
      <c r="B404" s="916">
        <v>42128</v>
      </c>
      <c r="C404" s="910">
        <v>45100746</v>
      </c>
      <c r="D404" s="910">
        <v>45045000</v>
      </c>
      <c r="E404" s="910">
        <v>55746</v>
      </c>
      <c r="F404" s="914">
        <v>0.99876396723016514</v>
      </c>
    </row>
    <row r="405" spans="1:6" x14ac:dyDescent="0.2">
      <c r="A405" s="913" t="s">
        <v>289</v>
      </c>
      <c r="B405" s="916"/>
      <c r="C405" s="910"/>
      <c r="D405" s="910"/>
      <c r="E405" s="910"/>
      <c r="F405" s="914"/>
    </row>
    <row r="406" spans="1:6" x14ac:dyDescent="0.2">
      <c r="A406" s="915" t="s">
        <v>290</v>
      </c>
      <c r="B406" s="916">
        <v>41855</v>
      </c>
      <c r="C406" s="910">
        <v>9998117</v>
      </c>
      <c r="D406" s="910">
        <v>9998097</v>
      </c>
      <c r="E406" s="910">
        <v>20</v>
      </c>
      <c r="F406" s="914">
        <v>0.99999799962332903</v>
      </c>
    </row>
    <row r="407" spans="1:6" x14ac:dyDescent="0.2">
      <c r="A407" s="913" t="s">
        <v>300</v>
      </c>
      <c r="B407" s="916"/>
      <c r="C407" s="910"/>
      <c r="D407" s="910"/>
      <c r="E407" s="910"/>
      <c r="F407" s="914"/>
    </row>
    <row r="408" spans="1:6" x14ac:dyDescent="0.2">
      <c r="A408" s="915" t="s">
        <v>1571</v>
      </c>
      <c r="B408" s="916">
        <v>42312</v>
      </c>
      <c r="C408" s="910">
        <v>12000000</v>
      </c>
      <c r="D408" s="910">
        <v>10800000</v>
      </c>
      <c r="E408" s="910">
        <v>1200000</v>
      </c>
      <c r="F408" s="914">
        <v>0.9</v>
      </c>
    </row>
    <row r="409" spans="1:6" x14ac:dyDescent="0.2">
      <c r="A409" s="913" t="s">
        <v>401</v>
      </c>
      <c r="B409" s="916"/>
      <c r="C409" s="910"/>
      <c r="D409" s="910"/>
      <c r="E409" s="910"/>
      <c r="F409" s="914"/>
    </row>
    <row r="410" spans="1:6" x14ac:dyDescent="0.2">
      <c r="A410" s="915" t="s">
        <v>547</v>
      </c>
      <c r="B410" s="916">
        <v>42216</v>
      </c>
      <c r="C410" s="910">
        <v>249991314</v>
      </c>
      <c r="D410" s="910">
        <v>248275406</v>
      </c>
      <c r="E410" s="910">
        <v>1715908</v>
      </c>
      <c r="F410" s="914">
        <v>0.99313612952168406</v>
      </c>
    </row>
    <row r="411" spans="1:6" x14ac:dyDescent="0.2">
      <c r="A411" s="913" t="s">
        <v>296</v>
      </c>
      <c r="B411" s="916"/>
      <c r="C411" s="910"/>
      <c r="D411" s="910"/>
      <c r="E411" s="910"/>
      <c r="F411" s="914"/>
    </row>
    <row r="412" spans="1:6" x14ac:dyDescent="0.2">
      <c r="A412" s="915" t="s">
        <v>1039</v>
      </c>
      <c r="B412" s="916">
        <v>41867</v>
      </c>
      <c r="C412" s="910">
        <v>5719790</v>
      </c>
      <c r="D412" s="910">
        <v>5719790</v>
      </c>
      <c r="E412" s="910">
        <v>0</v>
      </c>
      <c r="F412" s="914">
        <v>1</v>
      </c>
    </row>
    <row r="413" spans="1:6" x14ac:dyDescent="0.2">
      <c r="A413" s="913" t="s">
        <v>287</v>
      </c>
      <c r="B413" s="916"/>
      <c r="C413" s="910"/>
      <c r="D413" s="910"/>
      <c r="E413" s="910"/>
      <c r="F413" s="914"/>
    </row>
    <row r="414" spans="1:6" x14ac:dyDescent="0.2">
      <c r="A414" s="915" t="s">
        <v>1018</v>
      </c>
      <c r="B414" s="916">
        <v>42186</v>
      </c>
      <c r="C414" s="910">
        <v>337487000</v>
      </c>
      <c r="D414" s="910">
        <v>306295677</v>
      </c>
      <c r="E414" s="910">
        <v>31191323</v>
      </c>
      <c r="F414" s="914">
        <v>0.907577705215312</v>
      </c>
    </row>
    <row r="415" spans="1:6" x14ac:dyDescent="0.2">
      <c r="A415" s="913" t="s">
        <v>291</v>
      </c>
      <c r="B415" s="916"/>
      <c r="C415" s="910"/>
      <c r="D415" s="910"/>
      <c r="E415" s="910"/>
      <c r="F415" s="914"/>
    </row>
    <row r="416" spans="1:6" x14ac:dyDescent="0.2">
      <c r="A416" s="915" t="s">
        <v>1048</v>
      </c>
      <c r="B416" s="916">
        <v>42116</v>
      </c>
      <c r="C416" s="910">
        <v>3463454100</v>
      </c>
      <c r="D416" s="910">
        <v>3320263630</v>
      </c>
      <c r="E416" s="910">
        <v>143190470</v>
      </c>
      <c r="F416" s="914">
        <v>0.95865674385579414</v>
      </c>
    </row>
    <row r="417" spans="1:6" x14ac:dyDescent="0.2">
      <c r="A417" s="913" t="s">
        <v>305</v>
      </c>
      <c r="B417" s="916"/>
      <c r="C417" s="910"/>
      <c r="D417" s="910"/>
      <c r="E417" s="910"/>
      <c r="F417" s="914"/>
    </row>
    <row r="418" spans="1:6" x14ac:dyDescent="0.2">
      <c r="A418" s="915" t="s">
        <v>306</v>
      </c>
      <c r="B418" s="916">
        <v>41872</v>
      </c>
      <c r="C418" s="910">
        <v>330000</v>
      </c>
      <c r="D418" s="910">
        <v>330000</v>
      </c>
      <c r="E418" s="910">
        <v>0</v>
      </c>
      <c r="F418" s="914">
        <v>1</v>
      </c>
    </row>
    <row r="419" spans="1:6" x14ac:dyDescent="0.2">
      <c r="A419" s="913" t="s">
        <v>285</v>
      </c>
      <c r="B419" s="916"/>
      <c r="C419" s="910"/>
      <c r="D419" s="910"/>
      <c r="E419" s="910"/>
      <c r="F419" s="914"/>
    </row>
    <row r="420" spans="1:6" x14ac:dyDescent="0.2">
      <c r="A420" s="915" t="s">
        <v>3</v>
      </c>
      <c r="B420" s="916">
        <v>41959</v>
      </c>
      <c r="C420" s="910">
        <v>251750000</v>
      </c>
      <c r="D420" s="910">
        <v>180186681</v>
      </c>
      <c r="E420" s="910">
        <v>71563319</v>
      </c>
      <c r="F420" s="914">
        <v>0.71573656802383312</v>
      </c>
    </row>
    <row r="421" spans="1:6" x14ac:dyDescent="0.2">
      <c r="A421" s="913" t="s">
        <v>299</v>
      </c>
      <c r="B421" s="916"/>
      <c r="C421" s="910"/>
      <c r="D421" s="910"/>
      <c r="E421" s="910"/>
      <c r="F421" s="914"/>
    </row>
    <row r="422" spans="1:6" x14ac:dyDescent="0.2">
      <c r="A422" s="915" t="s">
        <v>1049</v>
      </c>
      <c r="B422" s="916">
        <v>41852</v>
      </c>
      <c r="C422" s="910">
        <v>2962640</v>
      </c>
      <c r="D422" s="910">
        <v>2962640</v>
      </c>
      <c r="E422" s="910">
        <v>0</v>
      </c>
      <c r="F422" s="914">
        <v>1</v>
      </c>
    </row>
    <row r="423" spans="1:6" x14ac:dyDescent="0.2">
      <c r="A423" s="913" t="s">
        <v>294</v>
      </c>
      <c r="B423" s="916"/>
      <c r="C423" s="910"/>
      <c r="D423" s="910"/>
      <c r="E423" s="910"/>
      <c r="F423" s="914"/>
    </row>
    <row r="424" spans="1:6" x14ac:dyDescent="0.2">
      <c r="A424" s="915" t="s">
        <v>295</v>
      </c>
      <c r="B424" s="916">
        <v>42186</v>
      </c>
      <c r="C424" s="910">
        <v>36581760</v>
      </c>
      <c r="D424" s="910">
        <v>34363318</v>
      </c>
      <c r="E424" s="910">
        <v>2218442</v>
      </c>
      <c r="F424" s="914">
        <v>0.93935660832064938</v>
      </c>
    </row>
    <row r="425" spans="1:6" x14ac:dyDescent="0.2">
      <c r="A425" s="913" t="s">
        <v>292</v>
      </c>
      <c r="B425" s="916"/>
      <c r="C425" s="910"/>
      <c r="D425" s="910"/>
      <c r="E425" s="910"/>
      <c r="F425" s="914"/>
    </row>
    <row r="426" spans="1:6" x14ac:dyDescent="0.2">
      <c r="A426" s="915" t="s">
        <v>293</v>
      </c>
      <c r="B426" s="916">
        <v>42247</v>
      </c>
      <c r="C426" s="910">
        <v>18714400</v>
      </c>
      <c r="D426" s="910">
        <v>17075400</v>
      </c>
      <c r="E426" s="910">
        <v>1639000</v>
      </c>
      <c r="F426" s="914">
        <v>0.91242038216560506</v>
      </c>
    </row>
    <row r="427" spans="1:6" x14ac:dyDescent="0.2">
      <c r="A427" s="913" t="s">
        <v>298</v>
      </c>
      <c r="B427" s="916"/>
      <c r="C427" s="910"/>
      <c r="D427" s="910"/>
      <c r="E427" s="910"/>
      <c r="F427" s="914"/>
    </row>
    <row r="428" spans="1:6" x14ac:dyDescent="0.2">
      <c r="A428" s="915" t="s">
        <v>90</v>
      </c>
      <c r="B428" s="916">
        <v>42203</v>
      </c>
      <c r="C428" s="910">
        <v>683000</v>
      </c>
      <c r="D428" s="910">
        <v>683000</v>
      </c>
      <c r="E428" s="910">
        <v>0</v>
      </c>
      <c r="F428" s="914">
        <v>1</v>
      </c>
    </row>
    <row r="429" spans="1:6" x14ac:dyDescent="0.2">
      <c r="A429" s="913" t="s">
        <v>302</v>
      </c>
      <c r="B429" s="916"/>
      <c r="C429" s="910"/>
      <c r="D429" s="910"/>
      <c r="E429" s="910"/>
      <c r="F429" s="914"/>
    </row>
    <row r="430" spans="1:6" x14ac:dyDescent="0.2">
      <c r="A430" s="915" t="s">
        <v>303</v>
      </c>
      <c r="B430" s="916">
        <v>42050</v>
      </c>
      <c r="C430" s="910">
        <v>4672000</v>
      </c>
      <c r="D430" s="910">
        <v>1806200</v>
      </c>
      <c r="E430" s="910">
        <v>2865800</v>
      </c>
      <c r="F430" s="914">
        <v>0.38660102739726027</v>
      </c>
    </row>
    <row r="431" spans="1:6" x14ac:dyDescent="0.2">
      <c r="A431" s="913" t="s">
        <v>297</v>
      </c>
      <c r="B431" s="916"/>
      <c r="C431" s="910"/>
      <c r="D431" s="910"/>
      <c r="E431" s="910"/>
      <c r="F431" s="914"/>
    </row>
    <row r="432" spans="1:6" x14ac:dyDescent="0.2">
      <c r="A432" s="915" t="s">
        <v>999</v>
      </c>
      <c r="B432" s="916">
        <v>42139</v>
      </c>
      <c r="C432" s="910">
        <v>97800000</v>
      </c>
      <c r="D432" s="910">
        <v>97794518</v>
      </c>
      <c r="E432" s="910">
        <v>5482</v>
      </c>
      <c r="F432" s="914">
        <v>0.99994394683026588</v>
      </c>
    </row>
    <row r="433" spans="1:6" x14ac:dyDescent="0.2">
      <c r="A433" s="913" t="s">
        <v>304</v>
      </c>
      <c r="B433" s="916"/>
      <c r="C433" s="910"/>
      <c r="D433" s="910"/>
      <c r="E433" s="910"/>
      <c r="F433" s="914"/>
    </row>
    <row r="434" spans="1:6" x14ac:dyDescent="0.2">
      <c r="A434" s="915" t="s">
        <v>1006</v>
      </c>
      <c r="B434" s="916">
        <v>41965</v>
      </c>
      <c r="C434" s="910">
        <v>2228070</v>
      </c>
      <c r="D434" s="910">
        <v>2228070</v>
      </c>
      <c r="E434" s="910">
        <v>0</v>
      </c>
      <c r="F434" s="914">
        <v>1</v>
      </c>
    </row>
    <row r="435" spans="1:6" x14ac:dyDescent="0.2">
      <c r="A435" s="913" t="s">
        <v>308</v>
      </c>
      <c r="B435" s="916"/>
      <c r="C435" s="910"/>
      <c r="D435" s="910"/>
      <c r="E435" s="910"/>
      <c r="F435" s="914"/>
    </row>
    <row r="436" spans="1:6" x14ac:dyDescent="0.2">
      <c r="A436" s="915" t="s">
        <v>1050</v>
      </c>
      <c r="B436" s="916">
        <v>41923</v>
      </c>
      <c r="C436" s="910">
        <v>2260000</v>
      </c>
      <c r="D436" s="910">
        <v>1595000</v>
      </c>
      <c r="E436" s="910">
        <v>665000</v>
      </c>
      <c r="F436" s="914">
        <v>0.70575221238938057</v>
      </c>
    </row>
    <row r="437" spans="1:6" x14ac:dyDescent="0.2">
      <c r="A437" s="913" t="s">
        <v>307</v>
      </c>
      <c r="B437" s="916"/>
      <c r="C437" s="910"/>
      <c r="D437" s="910"/>
      <c r="E437" s="910"/>
      <c r="F437" s="914"/>
    </row>
    <row r="438" spans="1:6" x14ac:dyDescent="0.2">
      <c r="A438" s="915" t="s">
        <v>144</v>
      </c>
      <c r="B438" s="916">
        <v>42108</v>
      </c>
      <c r="C438" s="910">
        <v>290648563</v>
      </c>
      <c r="D438" s="910">
        <v>290648563</v>
      </c>
      <c r="E438" s="910">
        <v>0</v>
      </c>
      <c r="F438" s="914">
        <v>1</v>
      </c>
    </row>
    <row r="439" spans="1:6" x14ac:dyDescent="0.2">
      <c r="A439" s="913" t="s">
        <v>546</v>
      </c>
      <c r="B439" s="916"/>
      <c r="C439" s="910"/>
      <c r="D439" s="910"/>
      <c r="E439" s="910"/>
      <c r="F439" s="914"/>
    </row>
    <row r="440" spans="1:6" x14ac:dyDescent="0.2">
      <c r="A440" s="915" t="s">
        <v>310</v>
      </c>
      <c r="B440" s="916">
        <v>41932</v>
      </c>
      <c r="C440" s="910">
        <v>14975600</v>
      </c>
      <c r="D440" s="910">
        <v>14975600</v>
      </c>
      <c r="E440" s="910">
        <v>0</v>
      </c>
      <c r="F440" s="914">
        <v>1</v>
      </c>
    </row>
    <row r="441" spans="1:6" x14ac:dyDescent="0.2">
      <c r="A441" s="913" t="s">
        <v>548</v>
      </c>
      <c r="B441" s="916"/>
      <c r="C441" s="910"/>
      <c r="D441" s="910"/>
      <c r="E441" s="910"/>
      <c r="F441" s="914"/>
    </row>
    <row r="442" spans="1:6" x14ac:dyDescent="0.2">
      <c r="A442" s="915" t="s">
        <v>13</v>
      </c>
      <c r="B442" s="916">
        <v>42258</v>
      </c>
      <c r="C442" s="910">
        <v>936000</v>
      </c>
      <c r="D442" s="910">
        <v>936000</v>
      </c>
      <c r="E442" s="910">
        <v>0</v>
      </c>
      <c r="F442" s="914">
        <v>1</v>
      </c>
    </row>
    <row r="443" spans="1:6" x14ac:dyDescent="0.2">
      <c r="A443" s="913" t="s">
        <v>551</v>
      </c>
      <c r="B443" s="916"/>
      <c r="C443" s="910"/>
      <c r="D443" s="910"/>
      <c r="E443" s="910"/>
      <c r="F443" s="914"/>
    </row>
    <row r="444" spans="1:6" x14ac:dyDescent="0.2">
      <c r="A444" s="915" t="s">
        <v>29</v>
      </c>
      <c r="B444" s="916">
        <v>42261</v>
      </c>
      <c r="C444" s="910">
        <v>855000</v>
      </c>
      <c r="D444" s="910">
        <v>855000</v>
      </c>
      <c r="E444" s="910">
        <v>0</v>
      </c>
      <c r="F444" s="914">
        <v>1</v>
      </c>
    </row>
    <row r="445" spans="1:6" x14ac:dyDescent="0.2">
      <c r="A445" s="913" t="s">
        <v>553</v>
      </c>
      <c r="B445" s="916"/>
      <c r="C445" s="910"/>
      <c r="D445" s="910"/>
      <c r="E445" s="910"/>
      <c r="F445" s="914"/>
    </row>
    <row r="446" spans="1:6" x14ac:dyDescent="0.2">
      <c r="A446" s="915" t="s">
        <v>554</v>
      </c>
      <c r="B446" s="916">
        <v>42009</v>
      </c>
      <c r="C446" s="910">
        <v>19356282</v>
      </c>
      <c r="D446" s="910">
        <v>19356282</v>
      </c>
      <c r="E446" s="910">
        <v>0</v>
      </c>
      <c r="F446" s="914">
        <v>1</v>
      </c>
    </row>
    <row r="447" spans="1:6" x14ac:dyDescent="0.2">
      <c r="A447" s="913" t="s">
        <v>555</v>
      </c>
      <c r="B447" s="916"/>
      <c r="C447" s="910"/>
      <c r="D447" s="910"/>
      <c r="E447" s="910"/>
      <c r="F447" s="914"/>
    </row>
    <row r="448" spans="1:6" x14ac:dyDescent="0.2">
      <c r="A448" s="915" t="s">
        <v>1067</v>
      </c>
      <c r="B448" s="916">
        <v>42013</v>
      </c>
      <c r="C448" s="910">
        <v>25000000</v>
      </c>
      <c r="D448" s="910">
        <v>25000000</v>
      </c>
      <c r="E448" s="910">
        <v>0</v>
      </c>
      <c r="F448" s="914">
        <v>1</v>
      </c>
    </row>
    <row r="449" spans="1:6" x14ac:dyDescent="0.2">
      <c r="A449" s="913" t="s">
        <v>556</v>
      </c>
      <c r="B449" s="916"/>
      <c r="C449" s="910"/>
      <c r="D449" s="910"/>
      <c r="E449" s="910"/>
      <c r="F449" s="914"/>
    </row>
    <row r="450" spans="1:6" x14ac:dyDescent="0.2">
      <c r="A450" s="915" t="s">
        <v>1004</v>
      </c>
      <c r="B450" s="916">
        <v>42046</v>
      </c>
      <c r="C450" s="910">
        <v>25000000</v>
      </c>
      <c r="D450" s="910">
        <v>25000000</v>
      </c>
      <c r="E450" s="910">
        <v>0</v>
      </c>
      <c r="F450" s="914">
        <v>1</v>
      </c>
    </row>
    <row r="451" spans="1:6" x14ac:dyDescent="0.2">
      <c r="A451" s="913" t="s">
        <v>1069</v>
      </c>
      <c r="B451" s="916"/>
      <c r="C451" s="910"/>
      <c r="D451" s="910"/>
      <c r="E451" s="910"/>
      <c r="F451" s="914"/>
    </row>
    <row r="452" spans="1:6" x14ac:dyDescent="0.2">
      <c r="A452" s="915" t="s">
        <v>1070</v>
      </c>
      <c r="B452" s="916">
        <v>42053</v>
      </c>
      <c r="C452" s="910">
        <v>17500000</v>
      </c>
      <c r="D452" s="910">
        <v>17500000</v>
      </c>
      <c r="E452" s="910">
        <v>0</v>
      </c>
      <c r="F452" s="914">
        <v>1</v>
      </c>
    </row>
    <row r="453" spans="1:6" x14ac:dyDescent="0.2">
      <c r="A453" s="913" t="s">
        <v>1071</v>
      </c>
      <c r="B453" s="916"/>
      <c r="C453" s="910"/>
      <c r="D453" s="910"/>
      <c r="E453" s="910"/>
      <c r="F453" s="914"/>
    </row>
    <row r="454" spans="1:6" x14ac:dyDescent="0.2">
      <c r="A454" s="915" t="s">
        <v>1072</v>
      </c>
      <c r="B454" s="916">
        <v>42033</v>
      </c>
      <c r="C454" s="910">
        <v>10000000</v>
      </c>
      <c r="D454" s="910">
        <v>10000000</v>
      </c>
      <c r="E454" s="910">
        <v>0</v>
      </c>
      <c r="F454" s="914">
        <v>1</v>
      </c>
    </row>
    <row r="455" spans="1:6" x14ac:dyDescent="0.2">
      <c r="A455" s="913" t="s">
        <v>1101</v>
      </c>
      <c r="B455" s="916"/>
      <c r="C455" s="910"/>
      <c r="D455" s="910"/>
      <c r="E455" s="910"/>
      <c r="F455" s="914"/>
    </row>
    <row r="456" spans="1:6" x14ac:dyDescent="0.2">
      <c r="A456" s="915" t="s">
        <v>435</v>
      </c>
      <c r="B456" s="916">
        <v>42207</v>
      </c>
      <c r="C456" s="910">
        <v>6252000</v>
      </c>
      <c r="D456" s="910">
        <v>5665189</v>
      </c>
      <c r="E456" s="910">
        <v>586811</v>
      </c>
      <c r="F456" s="914">
        <v>0.90614027511196416</v>
      </c>
    </row>
    <row r="457" spans="1:6" x14ac:dyDescent="0.2">
      <c r="A457" s="913" t="s">
        <v>1334</v>
      </c>
      <c r="B457" s="916"/>
      <c r="C457" s="910"/>
      <c r="D457" s="910"/>
      <c r="E457" s="910"/>
      <c r="F457" s="914"/>
    </row>
    <row r="458" spans="1:6" x14ac:dyDescent="0.2">
      <c r="A458" s="915" t="s">
        <v>1335</v>
      </c>
      <c r="B458" s="916">
        <v>42027</v>
      </c>
      <c r="C458" s="910">
        <v>4136000</v>
      </c>
      <c r="D458" s="910">
        <v>2251047</v>
      </c>
      <c r="E458" s="910">
        <v>1884953</v>
      </c>
      <c r="F458" s="914">
        <v>0.54425701160541584</v>
      </c>
    </row>
    <row r="459" spans="1:6" x14ac:dyDescent="0.2">
      <c r="A459" s="913" t="s">
        <v>919</v>
      </c>
      <c r="B459" s="916"/>
      <c r="C459" s="910"/>
      <c r="D459" s="910"/>
      <c r="E459" s="910"/>
      <c r="F459" s="914"/>
    </row>
    <row r="460" spans="1:6" x14ac:dyDescent="0.2">
      <c r="A460" s="915" t="s">
        <v>1104</v>
      </c>
      <c r="B460" s="916">
        <v>42202</v>
      </c>
      <c r="C460" s="910">
        <v>3846133</v>
      </c>
      <c r="D460" s="910">
        <v>0</v>
      </c>
      <c r="E460" s="910">
        <v>3846133</v>
      </c>
      <c r="F460" s="914">
        <v>0</v>
      </c>
    </row>
    <row r="461" spans="1:6" x14ac:dyDescent="0.2">
      <c r="A461" s="913" t="s">
        <v>1106</v>
      </c>
      <c r="B461" s="916"/>
      <c r="C461" s="910"/>
      <c r="D461" s="910"/>
      <c r="E461" s="910"/>
      <c r="F461" s="914"/>
    </row>
    <row r="462" spans="1:6" x14ac:dyDescent="0.2">
      <c r="A462" s="915" t="s">
        <v>100</v>
      </c>
      <c r="B462" s="916">
        <v>42129</v>
      </c>
      <c r="C462" s="910">
        <v>30000000</v>
      </c>
      <c r="D462" s="910">
        <v>28330110</v>
      </c>
      <c r="E462" s="910">
        <v>1669890</v>
      </c>
      <c r="F462" s="914">
        <v>0.94433699999999998</v>
      </c>
    </row>
    <row r="463" spans="1:6" x14ac:dyDescent="0.2">
      <c r="A463" s="913" t="s">
        <v>1109</v>
      </c>
      <c r="B463" s="916"/>
      <c r="C463" s="910"/>
      <c r="D463" s="910"/>
      <c r="E463" s="910"/>
      <c r="F463" s="914"/>
    </row>
    <row r="464" spans="1:6" x14ac:dyDescent="0.2">
      <c r="A464" s="915" t="s">
        <v>222</v>
      </c>
      <c r="B464" s="916">
        <v>42008</v>
      </c>
      <c r="C464" s="910">
        <v>55000000</v>
      </c>
      <c r="D464" s="910">
        <v>55000000</v>
      </c>
      <c r="E464" s="910">
        <v>0</v>
      </c>
      <c r="F464" s="914">
        <v>1</v>
      </c>
    </row>
    <row r="465" spans="1:6" x14ac:dyDescent="0.2">
      <c r="A465" s="913" t="s">
        <v>1114</v>
      </c>
      <c r="B465" s="916"/>
      <c r="C465" s="910"/>
      <c r="D465" s="910"/>
      <c r="E465" s="910"/>
      <c r="F465" s="914"/>
    </row>
    <row r="466" spans="1:6" x14ac:dyDescent="0.2">
      <c r="A466" s="915" t="s">
        <v>1115</v>
      </c>
      <c r="B466" s="916">
        <v>42021</v>
      </c>
      <c r="C466" s="910">
        <v>14153603</v>
      </c>
      <c r="D466" s="910">
        <v>14153603</v>
      </c>
      <c r="E466" s="910">
        <v>0</v>
      </c>
      <c r="F466" s="914">
        <v>1</v>
      </c>
    </row>
    <row r="467" spans="1:6" x14ac:dyDescent="0.2">
      <c r="A467" s="913" t="s">
        <v>1120</v>
      </c>
      <c r="B467" s="916"/>
      <c r="C467" s="910"/>
      <c r="D467" s="910"/>
      <c r="E467" s="910"/>
      <c r="F467" s="914"/>
    </row>
    <row r="468" spans="1:6" x14ac:dyDescent="0.2">
      <c r="A468" s="915" t="s">
        <v>1121</v>
      </c>
      <c r="B468" s="916">
        <v>42004</v>
      </c>
      <c r="C468" s="910">
        <v>812500</v>
      </c>
      <c r="D468" s="910">
        <v>812500</v>
      </c>
      <c r="E468" s="910">
        <v>0</v>
      </c>
      <c r="F468" s="914">
        <v>1</v>
      </c>
    </row>
    <row r="469" spans="1:6" x14ac:dyDescent="0.2">
      <c r="A469" s="913" t="s">
        <v>1111</v>
      </c>
      <c r="B469" s="916"/>
      <c r="C469" s="910"/>
      <c r="D469" s="910"/>
      <c r="E469" s="910"/>
      <c r="F469" s="914"/>
    </row>
    <row r="470" spans="1:6" x14ac:dyDescent="0.2">
      <c r="A470" s="915" t="s">
        <v>1112</v>
      </c>
      <c r="B470" s="916">
        <v>42116</v>
      </c>
      <c r="C470" s="910">
        <v>818527824</v>
      </c>
      <c r="D470" s="910">
        <v>800790708</v>
      </c>
      <c r="E470" s="910">
        <v>17737116</v>
      </c>
      <c r="F470" s="914">
        <v>0.97833046662565259</v>
      </c>
    </row>
    <row r="471" spans="1:6" x14ac:dyDescent="0.2">
      <c r="A471" s="913" t="s">
        <v>1117</v>
      </c>
      <c r="B471" s="916"/>
      <c r="C471" s="910"/>
      <c r="D471" s="910"/>
      <c r="E471" s="910"/>
      <c r="F471" s="914"/>
    </row>
    <row r="472" spans="1:6" x14ac:dyDescent="0.2">
      <c r="A472" s="915" t="s">
        <v>1118</v>
      </c>
      <c r="B472" s="916">
        <v>42369</v>
      </c>
      <c r="C472" s="910">
        <v>75520000</v>
      </c>
      <c r="D472" s="910">
        <v>75519999</v>
      </c>
      <c r="E472" s="910">
        <v>1</v>
      </c>
      <c r="F472" s="914">
        <v>0.99999998675847457</v>
      </c>
    </row>
    <row r="473" spans="1:6" x14ac:dyDescent="0.2">
      <c r="A473" s="913" t="s">
        <v>1163</v>
      </c>
      <c r="B473" s="916"/>
      <c r="C473" s="910"/>
      <c r="D473" s="910"/>
      <c r="E473" s="910"/>
      <c r="F473" s="914"/>
    </row>
    <row r="474" spans="1:6" x14ac:dyDescent="0.2">
      <c r="A474" s="915" t="s">
        <v>1164</v>
      </c>
      <c r="B474" s="916">
        <v>42301</v>
      </c>
      <c r="C474" s="910">
        <v>16592327</v>
      </c>
      <c r="D474" s="910">
        <v>14933095</v>
      </c>
      <c r="E474" s="910">
        <v>1659232</v>
      </c>
      <c r="F474" s="914">
        <v>0.90000004218817531</v>
      </c>
    </row>
    <row r="475" spans="1:6" x14ac:dyDescent="0.2">
      <c r="A475" s="913" t="s">
        <v>1156</v>
      </c>
      <c r="B475" s="916"/>
      <c r="C475" s="910"/>
      <c r="D475" s="910"/>
      <c r="E475" s="910"/>
      <c r="F475" s="914"/>
    </row>
    <row r="476" spans="1:6" x14ac:dyDescent="0.2">
      <c r="A476" s="915" t="s">
        <v>33</v>
      </c>
      <c r="B476" s="916">
        <v>42277</v>
      </c>
      <c r="C476" s="910">
        <v>807000</v>
      </c>
      <c r="D476" s="910">
        <v>807000</v>
      </c>
      <c r="E476" s="910">
        <v>0</v>
      </c>
      <c r="F476" s="914">
        <v>1</v>
      </c>
    </row>
    <row r="477" spans="1:6" x14ac:dyDescent="0.2">
      <c r="A477" s="913" t="s">
        <v>1161</v>
      </c>
      <c r="B477" s="916"/>
      <c r="C477" s="910"/>
      <c r="D477" s="910"/>
      <c r="E477" s="910"/>
      <c r="F477" s="914"/>
    </row>
    <row r="478" spans="1:6" x14ac:dyDescent="0.2">
      <c r="A478" s="915" t="s">
        <v>1162</v>
      </c>
      <c r="B478" s="916">
        <v>42138</v>
      </c>
      <c r="C478" s="910">
        <v>41850000</v>
      </c>
      <c r="D478" s="910">
        <v>26363000</v>
      </c>
      <c r="E478" s="910">
        <v>15487000</v>
      </c>
      <c r="F478" s="914">
        <v>0.6299402628434887</v>
      </c>
    </row>
    <row r="479" spans="1:6" x14ac:dyDescent="0.2">
      <c r="A479" s="913" t="s">
        <v>1158</v>
      </c>
      <c r="B479" s="916"/>
      <c r="C479" s="910"/>
      <c r="D479" s="910"/>
      <c r="E479" s="910"/>
      <c r="F479" s="914"/>
    </row>
    <row r="480" spans="1:6" x14ac:dyDescent="0.2">
      <c r="A480" s="915" t="s">
        <v>186</v>
      </c>
      <c r="B480" s="916">
        <v>41996</v>
      </c>
      <c r="C480" s="910">
        <v>311460000</v>
      </c>
      <c r="D480" s="910">
        <v>93438000</v>
      </c>
      <c r="E480" s="910">
        <v>218022000</v>
      </c>
      <c r="F480" s="914">
        <v>0.3</v>
      </c>
    </row>
    <row r="481" spans="1:6" x14ac:dyDescent="0.2">
      <c r="A481" s="913" t="s">
        <v>1159</v>
      </c>
      <c r="B481" s="916"/>
      <c r="C481" s="910"/>
      <c r="D481" s="910"/>
      <c r="E481" s="910"/>
      <c r="F481" s="914"/>
    </row>
    <row r="482" spans="1:6" x14ac:dyDescent="0.2">
      <c r="A482" s="915" t="s">
        <v>22</v>
      </c>
      <c r="B482" s="916">
        <v>42477</v>
      </c>
      <c r="C482" s="910">
        <v>66816000</v>
      </c>
      <c r="D482" s="910">
        <v>66816000</v>
      </c>
      <c r="E482" s="910">
        <v>0</v>
      </c>
      <c r="F482" s="914">
        <v>1</v>
      </c>
    </row>
    <row r="483" spans="1:6" x14ac:dyDescent="0.2">
      <c r="A483" s="913" t="s">
        <v>599</v>
      </c>
      <c r="B483" s="916"/>
      <c r="C483" s="910"/>
      <c r="D483" s="910"/>
      <c r="E483" s="910"/>
      <c r="F483" s="914"/>
    </row>
    <row r="484" spans="1:6" x14ac:dyDescent="0.2">
      <c r="A484" s="915" t="s">
        <v>1026</v>
      </c>
      <c r="B484" s="916">
        <v>41580</v>
      </c>
      <c r="C484" s="910">
        <v>9037264</v>
      </c>
      <c r="D484" s="910">
        <v>7492420</v>
      </c>
      <c r="E484" s="910">
        <v>1544844</v>
      </c>
      <c r="F484" s="914">
        <v>0.82905844069621071</v>
      </c>
    </row>
    <row r="485" spans="1:6" x14ac:dyDescent="0.2">
      <c r="A485" s="913" t="s">
        <v>857</v>
      </c>
      <c r="B485" s="916"/>
      <c r="C485" s="910"/>
      <c r="D485" s="910"/>
      <c r="E485" s="910"/>
      <c r="F485" s="914"/>
    </row>
    <row r="486" spans="1:6" x14ac:dyDescent="0.2">
      <c r="A486" s="915" t="s">
        <v>1339</v>
      </c>
      <c r="B486" s="916">
        <v>41975</v>
      </c>
      <c r="C486" s="910">
        <v>150000000</v>
      </c>
      <c r="D486" s="910">
        <v>0</v>
      </c>
      <c r="E486" s="910">
        <v>150000000</v>
      </c>
      <c r="F486" s="914">
        <v>0</v>
      </c>
    </row>
    <row r="487" spans="1:6" x14ac:dyDescent="0.2">
      <c r="A487" s="913" t="s">
        <v>1330</v>
      </c>
      <c r="B487" s="916"/>
      <c r="C487" s="910"/>
      <c r="D487" s="910"/>
      <c r="E487" s="910"/>
      <c r="F487" s="914"/>
    </row>
    <row r="488" spans="1:6" x14ac:dyDescent="0.2">
      <c r="A488" s="915" t="s">
        <v>1020</v>
      </c>
      <c r="B488" s="916">
        <v>42305</v>
      </c>
      <c r="C488" s="910">
        <v>810000</v>
      </c>
      <c r="D488" s="910">
        <v>810000</v>
      </c>
      <c r="E488" s="910">
        <v>0</v>
      </c>
      <c r="F488" s="914">
        <v>1</v>
      </c>
    </row>
    <row r="489" spans="1:6" x14ac:dyDescent="0.2">
      <c r="A489" s="913" t="s">
        <v>1337</v>
      </c>
      <c r="B489" s="916"/>
      <c r="C489" s="910"/>
      <c r="D489" s="910"/>
      <c r="E489" s="910"/>
      <c r="F489" s="914"/>
    </row>
    <row r="490" spans="1:6" x14ac:dyDescent="0.2">
      <c r="A490" s="915" t="s">
        <v>203</v>
      </c>
      <c r="B490" s="916">
        <v>42085</v>
      </c>
      <c r="C490" s="910">
        <v>4621440</v>
      </c>
      <c r="D490" s="910">
        <v>4621440</v>
      </c>
      <c r="E490" s="910">
        <v>0</v>
      </c>
      <c r="F490" s="914">
        <v>1</v>
      </c>
    </row>
    <row r="491" spans="1:6" x14ac:dyDescent="0.2">
      <c r="A491" s="913" t="s">
        <v>1332</v>
      </c>
      <c r="B491" s="916"/>
      <c r="C491" s="910"/>
      <c r="D491" s="910"/>
      <c r="E491" s="910"/>
      <c r="F491" s="914"/>
    </row>
    <row r="492" spans="1:6" x14ac:dyDescent="0.2">
      <c r="A492" s="915" t="s">
        <v>212</v>
      </c>
      <c r="B492" s="916">
        <v>41970</v>
      </c>
      <c r="C492" s="910">
        <v>324800</v>
      </c>
      <c r="D492" s="910">
        <v>324800</v>
      </c>
      <c r="E492" s="910">
        <v>0</v>
      </c>
      <c r="F492" s="914">
        <v>1</v>
      </c>
    </row>
    <row r="493" spans="1:6" x14ac:dyDescent="0.2">
      <c r="A493" s="913" t="s">
        <v>1345</v>
      </c>
      <c r="B493" s="916"/>
      <c r="C493" s="910"/>
      <c r="D493" s="910"/>
      <c r="E493" s="910"/>
      <c r="F493" s="914"/>
    </row>
    <row r="494" spans="1:6" x14ac:dyDescent="0.2">
      <c r="A494" s="915" t="s">
        <v>1346</v>
      </c>
      <c r="B494" s="916">
        <v>42241</v>
      </c>
      <c r="C494" s="910">
        <v>2459960</v>
      </c>
      <c r="D494" s="910">
        <v>2457884</v>
      </c>
      <c r="E494" s="910">
        <v>2076</v>
      </c>
      <c r="F494" s="914">
        <v>0.99915608383876164</v>
      </c>
    </row>
    <row r="495" spans="1:6" x14ac:dyDescent="0.2">
      <c r="A495" s="913" t="s">
        <v>1348</v>
      </c>
      <c r="B495" s="916"/>
      <c r="C495" s="910"/>
      <c r="D495" s="910"/>
      <c r="E495" s="910"/>
      <c r="F495" s="914"/>
    </row>
    <row r="496" spans="1:6" x14ac:dyDescent="0.2">
      <c r="A496" s="915" t="s">
        <v>1349</v>
      </c>
      <c r="B496" s="916">
        <v>42077</v>
      </c>
      <c r="C496" s="910">
        <v>20188000</v>
      </c>
      <c r="D496" s="910">
        <v>20188000</v>
      </c>
      <c r="E496" s="910">
        <v>0</v>
      </c>
      <c r="F496" s="914">
        <v>1</v>
      </c>
    </row>
    <row r="497" spans="1:6" x14ac:dyDescent="0.2">
      <c r="A497" s="913" t="s">
        <v>2257</v>
      </c>
      <c r="B497" s="916"/>
      <c r="C497" s="910"/>
      <c r="D497" s="910"/>
      <c r="E497" s="910"/>
      <c r="F497" s="914"/>
    </row>
    <row r="498" spans="1:6" x14ac:dyDescent="0.2">
      <c r="A498" s="915" t="s">
        <v>3</v>
      </c>
      <c r="B498" s="916">
        <v>41452</v>
      </c>
      <c r="C498" s="910">
        <v>315000000</v>
      </c>
      <c r="D498" s="910">
        <v>314473887</v>
      </c>
      <c r="E498" s="910">
        <v>526113</v>
      </c>
      <c r="F498" s="914">
        <v>0.99832980000000004</v>
      </c>
    </row>
    <row r="499" spans="1:6" x14ac:dyDescent="0.2">
      <c r="A499" s="913" t="s">
        <v>1352</v>
      </c>
      <c r="B499" s="916"/>
      <c r="C499" s="910"/>
      <c r="D499" s="910"/>
      <c r="E499" s="910"/>
      <c r="F499" s="914"/>
    </row>
    <row r="500" spans="1:6" x14ac:dyDescent="0.2">
      <c r="A500" s="915" t="s">
        <v>1353</v>
      </c>
      <c r="B500" s="916">
        <v>42184</v>
      </c>
      <c r="C500" s="910">
        <v>59383678</v>
      </c>
      <c r="D500" s="910">
        <v>27770152</v>
      </c>
      <c r="E500" s="910">
        <v>31613526</v>
      </c>
      <c r="F500" s="914">
        <v>0.46763947494124564</v>
      </c>
    </row>
    <row r="501" spans="1:6" x14ac:dyDescent="0.2">
      <c r="A501" s="913" t="s">
        <v>1355</v>
      </c>
      <c r="B501" s="916"/>
      <c r="C501" s="910"/>
      <c r="D501" s="910"/>
      <c r="E501" s="910"/>
      <c r="F501" s="914"/>
    </row>
    <row r="502" spans="1:6" x14ac:dyDescent="0.2">
      <c r="A502" s="915" t="s">
        <v>27</v>
      </c>
      <c r="B502" s="916">
        <v>42335</v>
      </c>
      <c r="C502" s="910">
        <v>764100</v>
      </c>
      <c r="D502" s="910">
        <v>764100</v>
      </c>
      <c r="E502" s="910">
        <v>0</v>
      </c>
      <c r="F502" s="914">
        <v>1</v>
      </c>
    </row>
    <row r="503" spans="1:6" x14ac:dyDescent="0.2">
      <c r="A503" s="913" t="s">
        <v>1357</v>
      </c>
      <c r="B503" s="916"/>
      <c r="C503" s="910"/>
      <c r="D503" s="910"/>
      <c r="E503" s="910"/>
      <c r="F503" s="914"/>
    </row>
    <row r="504" spans="1:6" x14ac:dyDescent="0.2">
      <c r="A504" s="915" t="s">
        <v>1358</v>
      </c>
      <c r="B504" s="916">
        <v>42208</v>
      </c>
      <c r="C504" s="910">
        <v>162856033</v>
      </c>
      <c r="D504" s="910">
        <v>20799042</v>
      </c>
      <c r="E504" s="910">
        <v>142056991</v>
      </c>
      <c r="F504" s="914">
        <v>0.12771428615113078</v>
      </c>
    </row>
    <row r="505" spans="1:6" x14ac:dyDescent="0.2">
      <c r="A505" s="913" t="s">
        <v>1360</v>
      </c>
      <c r="B505" s="916"/>
      <c r="C505" s="910"/>
      <c r="D505" s="910"/>
      <c r="E505" s="910"/>
      <c r="F505" s="914"/>
    </row>
    <row r="506" spans="1:6" x14ac:dyDescent="0.2">
      <c r="A506" s="915" t="s">
        <v>1361</v>
      </c>
      <c r="B506" s="916">
        <v>42334</v>
      </c>
      <c r="C506" s="910">
        <v>27235640</v>
      </c>
      <c r="D506" s="910">
        <v>17369840</v>
      </c>
      <c r="E506" s="910">
        <v>9865800</v>
      </c>
      <c r="F506" s="914">
        <v>0.63776140380765789</v>
      </c>
    </row>
    <row r="507" spans="1:6" x14ac:dyDescent="0.2">
      <c r="A507" s="913" t="s">
        <v>1367</v>
      </c>
      <c r="B507" s="916"/>
      <c r="C507" s="910"/>
      <c r="D507" s="910"/>
      <c r="E507" s="910"/>
      <c r="F507" s="914"/>
    </row>
    <row r="508" spans="1:6" x14ac:dyDescent="0.2">
      <c r="A508" s="915" t="s">
        <v>1368</v>
      </c>
      <c r="B508" s="916">
        <v>42504</v>
      </c>
      <c r="C508" s="910">
        <v>39999999</v>
      </c>
      <c r="D508" s="910">
        <v>39999998</v>
      </c>
      <c r="E508" s="910">
        <v>1</v>
      </c>
      <c r="F508" s="914">
        <v>0.99999997499999937</v>
      </c>
    </row>
    <row r="509" spans="1:6" x14ac:dyDescent="0.2">
      <c r="A509" s="913" t="s">
        <v>1365</v>
      </c>
      <c r="B509" s="916"/>
      <c r="C509" s="910"/>
      <c r="D509" s="910"/>
      <c r="E509" s="910"/>
      <c r="F509" s="914"/>
    </row>
    <row r="510" spans="1:6" x14ac:dyDescent="0.2">
      <c r="A510" s="915" t="s">
        <v>1537</v>
      </c>
      <c r="B510" s="916">
        <v>42063</v>
      </c>
      <c r="C510" s="910">
        <v>17664500</v>
      </c>
      <c r="D510" s="910">
        <v>17664500</v>
      </c>
      <c r="E510" s="910">
        <v>0</v>
      </c>
      <c r="F510" s="914">
        <v>1</v>
      </c>
    </row>
    <row r="511" spans="1:6" x14ac:dyDescent="0.2">
      <c r="A511" s="913" t="s">
        <v>1420</v>
      </c>
      <c r="B511" s="916"/>
      <c r="C511" s="910"/>
      <c r="D511" s="910"/>
      <c r="E511" s="910"/>
      <c r="F511" s="914"/>
    </row>
    <row r="512" spans="1:6" x14ac:dyDescent="0.2">
      <c r="A512" s="915" t="s">
        <v>1421</v>
      </c>
      <c r="B512" s="916">
        <v>42060</v>
      </c>
      <c r="C512" s="910">
        <v>4750000</v>
      </c>
      <c r="D512" s="910">
        <v>3978684</v>
      </c>
      <c r="E512" s="910">
        <v>771316</v>
      </c>
      <c r="F512" s="914">
        <v>0.83761768421052629</v>
      </c>
    </row>
    <row r="513" spans="1:6" x14ac:dyDescent="0.2">
      <c r="A513" s="913" t="s">
        <v>1425</v>
      </c>
      <c r="B513" s="916"/>
      <c r="C513" s="910"/>
      <c r="D513" s="910"/>
      <c r="E513" s="910"/>
      <c r="F513" s="914"/>
    </row>
    <row r="514" spans="1:6" x14ac:dyDescent="0.2">
      <c r="A514" s="915" t="s">
        <v>428</v>
      </c>
      <c r="B514" s="916">
        <v>42205</v>
      </c>
      <c r="C514" s="910">
        <v>668707669</v>
      </c>
      <c r="D514" s="910">
        <v>665337830</v>
      </c>
      <c r="E514" s="910">
        <v>3369839</v>
      </c>
      <c r="F514" s="914">
        <v>0.99496066942818329</v>
      </c>
    </row>
    <row r="515" spans="1:6" x14ac:dyDescent="0.2">
      <c r="A515" s="913" t="s">
        <v>1475</v>
      </c>
      <c r="B515" s="916"/>
      <c r="C515" s="910"/>
      <c r="D515" s="910"/>
      <c r="E515" s="910"/>
      <c r="F515" s="914"/>
    </row>
    <row r="516" spans="1:6" x14ac:dyDescent="0.2">
      <c r="A516" s="915" t="s">
        <v>64</v>
      </c>
      <c r="B516" s="916">
        <v>42335</v>
      </c>
      <c r="C516" s="910">
        <v>401058400</v>
      </c>
      <c r="D516" s="910">
        <v>401058400</v>
      </c>
      <c r="E516" s="910">
        <v>0</v>
      </c>
      <c r="F516" s="914">
        <v>1</v>
      </c>
    </row>
    <row r="517" spans="1:6" x14ac:dyDescent="0.2">
      <c r="A517" s="913" t="s">
        <v>1478</v>
      </c>
      <c r="B517" s="916"/>
      <c r="C517" s="910"/>
      <c r="D517" s="910"/>
      <c r="E517" s="910"/>
      <c r="F517" s="914"/>
    </row>
    <row r="518" spans="1:6" x14ac:dyDescent="0.2">
      <c r="A518" s="915" t="s">
        <v>3</v>
      </c>
      <c r="B518" s="916">
        <v>42063</v>
      </c>
      <c r="C518" s="910">
        <v>171253333</v>
      </c>
      <c r="D518" s="910">
        <v>123537109</v>
      </c>
      <c r="E518" s="910">
        <v>47716224</v>
      </c>
      <c r="F518" s="914">
        <v>0.72137053823063402</v>
      </c>
    </row>
    <row r="519" spans="1:6" x14ac:dyDescent="0.2">
      <c r="A519" s="913" t="s">
        <v>1486</v>
      </c>
      <c r="B519" s="916"/>
      <c r="C519" s="910"/>
      <c r="D519" s="910"/>
      <c r="E519" s="910"/>
      <c r="F519" s="914"/>
    </row>
    <row r="520" spans="1:6" x14ac:dyDescent="0.2">
      <c r="A520" s="915" t="s">
        <v>1599</v>
      </c>
      <c r="B520" s="916">
        <v>42044</v>
      </c>
      <c r="C520" s="910">
        <v>12700000</v>
      </c>
      <c r="D520" s="910">
        <v>12458400</v>
      </c>
      <c r="E520" s="910">
        <v>241600</v>
      </c>
      <c r="F520" s="914">
        <v>0.98097637795275594</v>
      </c>
    </row>
    <row r="521" spans="1:6" x14ac:dyDescent="0.2">
      <c r="A521" s="913" t="s">
        <v>1482</v>
      </c>
      <c r="B521" s="916"/>
      <c r="C521" s="910"/>
      <c r="D521" s="910"/>
      <c r="E521" s="910"/>
      <c r="F521" s="914"/>
    </row>
    <row r="522" spans="1:6" x14ac:dyDescent="0.2">
      <c r="A522" s="915" t="s">
        <v>1483</v>
      </c>
      <c r="B522" s="916">
        <v>42013</v>
      </c>
      <c r="C522" s="910">
        <v>39424000</v>
      </c>
      <c r="D522" s="910">
        <v>39424000</v>
      </c>
      <c r="E522" s="910">
        <v>0</v>
      </c>
      <c r="F522" s="914">
        <v>1</v>
      </c>
    </row>
    <row r="523" spans="1:6" x14ac:dyDescent="0.2">
      <c r="A523" s="913" t="s">
        <v>1498</v>
      </c>
      <c r="B523" s="916"/>
      <c r="C523" s="910"/>
      <c r="D523" s="910"/>
      <c r="E523" s="910"/>
      <c r="F523" s="914"/>
    </row>
    <row r="524" spans="1:6" x14ac:dyDescent="0.2">
      <c r="A524" s="915" t="s">
        <v>418</v>
      </c>
      <c r="B524" s="916">
        <v>42102</v>
      </c>
      <c r="C524" s="910">
        <v>187940000</v>
      </c>
      <c r="D524" s="910">
        <v>187940000</v>
      </c>
      <c r="E524" s="910">
        <v>0</v>
      </c>
      <c r="F524" s="914">
        <v>1</v>
      </c>
    </row>
    <row r="525" spans="1:6" x14ac:dyDescent="0.2">
      <c r="A525" s="913" t="s">
        <v>1492</v>
      </c>
      <c r="B525" s="916"/>
      <c r="C525" s="910"/>
      <c r="D525" s="910"/>
      <c r="E525" s="910"/>
      <c r="F525" s="914"/>
    </row>
    <row r="526" spans="1:6" x14ac:dyDescent="0.2">
      <c r="A526" s="915" t="s">
        <v>1493</v>
      </c>
      <c r="B526" s="916">
        <v>42140</v>
      </c>
      <c r="C526" s="910">
        <v>300000000</v>
      </c>
      <c r="D526" s="910">
        <v>238626484</v>
      </c>
      <c r="E526" s="910">
        <v>61373516</v>
      </c>
      <c r="F526" s="914">
        <v>0.79542161333333339</v>
      </c>
    </row>
    <row r="527" spans="1:6" x14ac:dyDescent="0.2">
      <c r="A527" s="913" t="s">
        <v>1495</v>
      </c>
      <c r="B527" s="916"/>
      <c r="C527" s="910"/>
      <c r="D527" s="910"/>
      <c r="E527" s="910"/>
      <c r="F527" s="914"/>
    </row>
    <row r="528" spans="1:6" x14ac:dyDescent="0.2">
      <c r="A528" s="915" t="s">
        <v>1421</v>
      </c>
      <c r="B528" s="916">
        <v>42109</v>
      </c>
      <c r="C528" s="910">
        <v>29997466</v>
      </c>
      <c r="D528" s="910">
        <v>29997466</v>
      </c>
      <c r="E528" s="910">
        <v>0</v>
      </c>
      <c r="F528" s="914">
        <v>1</v>
      </c>
    </row>
    <row r="529" spans="1:6" x14ac:dyDescent="0.2">
      <c r="A529" s="913" t="s">
        <v>1502</v>
      </c>
      <c r="B529" s="916"/>
      <c r="C529" s="910"/>
      <c r="D529" s="910"/>
      <c r="E529" s="910"/>
      <c r="F529" s="914"/>
    </row>
    <row r="530" spans="1:6" x14ac:dyDescent="0.2">
      <c r="A530" s="915" t="s">
        <v>1503</v>
      </c>
      <c r="B530" s="916">
        <v>42279</v>
      </c>
      <c r="C530" s="910">
        <v>1624000</v>
      </c>
      <c r="D530" s="910">
        <v>0</v>
      </c>
      <c r="E530" s="910">
        <v>1624000</v>
      </c>
      <c r="F530" s="914">
        <v>0</v>
      </c>
    </row>
    <row r="531" spans="1:6" x14ac:dyDescent="0.2">
      <c r="A531" s="913" t="s">
        <v>1517</v>
      </c>
      <c r="B531" s="916"/>
      <c r="C531" s="910"/>
      <c r="D531" s="910"/>
      <c r="E531" s="910"/>
      <c r="F531" s="914"/>
    </row>
    <row r="532" spans="1:6" x14ac:dyDescent="0.2">
      <c r="A532" s="915" t="s">
        <v>1518</v>
      </c>
      <c r="B532" s="916">
        <v>42348</v>
      </c>
      <c r="C532" s="910">
        <v>64621280</v>
      </c>
      <c r="D532" s="910">
        <v>64621280</v>
      </c>
      <c r="E532" s="910">
        <v>0</v>
      </c>
      <c r="F532" s="914">
        <v>1</v>
      </c>
    </row>
    <row r="533" spans="1:6" x14ac:dyDescent="0.2">
      <c r="A533" s="913" t="s">
        <v>1526</v>
      </c>
      <c r="B533" s="916"/>
      <c r="C533" s="910"/>
      <c r="D533" s="910"/>
      <c r="E533" s="910"/>
      <c r="F533" s="914"/>
    </row>
    <row r="534" spans="1:6" x14ac:dyDescent="0.2">
      <c r="A534" s="915" t="s">
        <v>1361</v>
      </c>
      <c r="B534" s="916">
        <v>42383</v>
      </c>
      <c r="C534" s="910">
        <v>137450000</v>
      </c>
      <c r="D534" s="910">
        <v>137449999</v>
      </c>
      <c r="E534" s="910">
        <v>1</v>
      </c>
      <c r="F534" s="914">
        <v>0.99999999272462714</v>
      </c>
    </row>
    <row r="535" spans="1:6" x14ac:dyDescent="0.2">
      <c r="A535" s="913" t="s">
        <v>1530</v>
      </c>
      <c r="B535" s="916"/>
      <c r="C535" s="910"/>
      <c r="D535" s="910"/>
      <c r="E535" s="910"/>
      <c r="F535" s="914"/>
    </row>
    <row r="536" spans="1:6" x14ac:dyDescent="0.2">
      <c r="A536" s="915" t="s">
        <v>1531</v>
      </c>
      <c r="B536" s="916">
        <v>42338</v>
      </c>
      <c r="C536" s="910">
        <v>309210000</v>
      </c>
      <c r="D536" s="910">
        <v>309210000</v>
      </c>
      <c r="E536" s="910">
        <v>0</v>
      </c>
      <c r="F536" s="914">
        <v>1</v>
      </c>
    </row>
    <row r="537" spans="1:6" x14ac:dyDescent="0.2">
      <c r="A537" s="913" t="s">
        <v>1538</v>
      </c>
      <c r="B537" s="916"/>
      <c r="C537" s="910"/>
      <c r="D537" s="910"/>
      <c r="E537" s="910"/>
      <c r="F537" s="914"/>
    </row>
    <row r="538" spans="1:6" x14ac:dyDescent="0.2">
      <c r="A538" s="915" t="s">
        <v>2025</v>
      </c>
      <c r="B538" s="916">
        <v>42396</v>
      </c>
      <c r="C538" s="910">
        <v>84000000</v>
      </c>
      <c r="D538" s="910">
        <v>84000000</v>
      </c>
      <c r="E538" s="910">
        <v>0</v>
      </c>
      <c r="F538" s="914">
        <v>1</v>
      </c>
    </row>
    <row r="539" spans="1:6" x14ac:dyDescent="0.2">
      <c r="A539" s="913" t="s">
        <v>1539</v>
      </c>
      <c r="B539" s="916"/>
      <c r="C539" s="910"/>
      <c r="D539" s="910"/>
      <c r="E539" s="910"/>
      <c r="F539" s="914"/>
    </row>
    <row r="540" spans="1:6" x14ac:dyDescent="0.2">
      <c r="A540" s="915" t="s">
        <v>1540</v>
      </c>
      <c r="B540" s="916">
        <v>42423</v>
      </c>
      <c r="C540" s="910">
        <v>4961088</v>
      </c>
      <c r="D540" s="910">
        <v>0</v>
      </c>
      <c r="E540" s="910">
        <v>4961088</v>
      </c>
      <c r="F540" s="914">
        <v>0</v>
      </c>
    </row>
    <row r="541" spans="1:6" x14ac:dyDescent="0.2">
      <c r="A541" s="913" t="s">
        <v>1542</v>
      </c>
      <c r="B541" s="916"/>
      <c r="C541" s="910"/>
      <c r="D541" s="910"/>
      <c r="E541" s="910"/>
      <c r="F541" s="914"/>
    </row>
    <row r="542" spans="1:6" x14ac:dyDescent="0.2">
      <c r="A542" s="915" t="s">
        <v>1543</v>
      </c>
      <c r="B542" s="916">
        <v>42079</v>
      </c>
      <c r="C542" s="910">
        <v>10075000</v>
      </c>
      <c r="D542" s="910">
        <v>10075000</v>
      </c>
      <c r="E542" s="910">
        <v>0</v>
      </c>
      <c r="F542" s="914">
        <v>1</v>
      </c>
    </row>
    <row r="543" spans="1:6" x14ac:dyDescent="0.2">
      <c r="A543" s="913" t="s">
        <v>1545</v>
      </c>
      <c r="B543" s="916"/>
      <c r="C543" s="910"/>
      <c r="D543" s="910"/>
      <c r="E543" s="910"/>
      <c r="F543" s="914"/>
    </row>
    <row r="544" spans="1:6" x14ac:dyDescent="0.2">
      <c r="A544" s="915" t="s">
        <v>1035</v>
      </c>
      <c r="B544" s="916">
        <v>42402</v>
      </c>
      <c r="C544" s="910">
        <v>46068000</v>
      </c>
      <c r="D544" s="910">
        <v>46068000</v>
      </c>
      <c r="E544" s="910">
        <v>0</v>
      </c>
      <c r="F544" s="914">
        <v>1</v>
      </c>
    </row>
    <row r="545" spans="1:6" x14ac:dyDescent="0.2">
      <c r="A545" s="913" t="s">
        <v>1549</v>
      </c>
      <c r="B545" s="916"/>
      <c r="C545" s="910"/>
      <c r="D545" s="910"/>
      <c r="E545" s="910"/>
      <c r="F545" s="914"/>
    </row>
    <row r="546" spans="1:6" x14ac:dyDescent="0.2">
      <c r="A546" s="915" t="s">
        <v>77</v>
      </c>
      <c r="B546" s="916">
        <v>42046</v>
      </c>
      <c r="C546" s="910">
        <v>0</v>
      </c>
      <c r="D546" s="910">
        <v>0</v>
      </c>
      <c r="E546" s="910">
        <v>0</v>
      </c>
      <c r="F546" s="914" t="e">
        <v>#DIV/0!</v>
      </c>
    </row>
    <row r="547" spans="1:6" x14ac:dyDescent="0.2">
      <c r="A547" s="913" t="s">
        <v>1553</v>
      </c>
      <c r="B547" s="916"/>
      <c r="C547" s="910"/>
      <c r="D547" s="910"/>
      <c r="E547" s="910"/>
      <c r="F547" s="914"/>
    </row>
    <row r="548" spans="1:6" x14ac:dyDescent="0.2">
      <c r="A548" s="915" t="s">
        <v>1033</v>
      </c>
      <c r="B548" s="916">
        <v>42410</v>
      </c>
      <c r="C548" s="910">
        <v>60000000</v>
      </c>
      <c r="D548" s="910">
        <v>60000000</v>
      </c>
      <c r="E548" s="910">
        <v>0</v>
      </c>
      <c r="F548" s="914">
        <v>1</v>
      </c>
    </row>
    <row r="549" spans="1:6" x14ac:dyDescent="0.2">
      <c r="A549" s="913" t="s">
        <v>1555</v>
      </c>
      <c r="B549" s="916"/>
      <c r="C549" s="910"/>
      <c r="D549" s="910"/>
      <c r="E549" s="910"/>
      <c r="F549" s="914"/>
    </row>
    <row r="550" spans="1:6" x14ac:dyDescent="0.2">
      <c r="A550" s="915" t="s">
        <v>2018</v>
      </c>
      <c r="B550" s="916">
        <v>42410</v>
      </c>
      <c r="C550" s="910">
        <v>63654000</v>
      </c>
      <c r="D550" s="910">
        <v>30235636</v>
      </c>
      <c r="E550" s="910">
        <v>33418364</v>
      </c>
      <c r="F550" s="914">
        <v>0.47499978006095456</v>
      </c>
    </row>
    <row r="551" spans="1:6" x14ac:dyDescent="0.2">
      <c r="A551" s="913" t="s">
        <v>1557</v>
      </c>
      <c r="B551" s="916"/>
      <c r="C551" s="910"/>
      <c r="D551" s="910"/>
      <c r="E551" s="910"/>
      <c r="F551" s="914"/>
    </row>
    <row r="552" spans="1:6" x14ac:dyDescent="0.2">
      <c r="A552" s="915" t="s">
        <v>1516</v>
      </c>
      <c r="B552" s="916">
        <v>42418</v>
      </c>
      <c r="C552" s="910">
        <v>48000000</v>
      </c>
      <c r="D552" s="910">
        <v>48000000</v>
      </c>
      <c r="E552" s="910">
        <v>0</v>
      </c>
      <c r="F552" s="914">
        <v>1</v>
      </c>
    </row>
    <row r="553" spans="1:6" x14ac:dyDescent="0.2">
      <c r="A553" s="913" t="s">
        <v>1570</v>
      </c>
      <c r="B553" s="916"/>
      <c r="C553" s="910"/>
      <c r="D553" s="910"/>
      <c r="E553" s="910"/>
      <c r="F553" s="914"/>
    </row>
    <row r="554" spans="1:6" x14ac:dyDescent="0.2">
      <c r="A554" s="915" t="s">
        <v>1569</v>
      </c>
      <c r="B554" s="916">
        <v>42419</v>
      </c>
      <c r="C554" s="910">
        <v>63654000</v>
      </c>
      <c r="D554" s="910">
        <v>63654000</v>
      </c>
      <c r="E554" s="910">
        <v>0</v>
      </c>
      <c r="F554" s="914">
        <v>1</v>
      </c>
    </row>
    <row r="555" spans="1:6" x14ac:dyDescent="0.2">
      <c r="A555" s="913" t="s">
        <v>1611</v>
      </c>
      <c r="B555" s="916"/>
      <c r="C555" s="910"/>
      <c r="D555" s="910"/>
      <c r="E555" s="910"/>
      <c r="F555" s="914"/>
    </row>
    <row r="556" spans="1:6" x14ac:dyDescent="0.2">
      <c r="A556" s="915" t="s">
        <v>2392</v>
      </c>
      <c r="B556" s="916">
        <v>42419</v>
      </c>
      <c r="C556" s="910">
        <v>60000000</v>
      </c>
      <c r="D556" s="910">
        <v>60000000</v>
      </c>
      <c r="E556" s="910">
        <v>0</v>
      </c>
      <c r="F556" s="914">
        <v>1</v>
      </c>
    </row>
    <row r="557" spans="1:6" x14ac:dyDescent="0.2">
      <c r="A557" s="913" t="s">
        <v>1560</v>
      </c>
      <c r="B557" s="916"/>
      <c r="C557" s="910"/>
      <c r="D557" s="910"/>
      <c r="E557" s="910"/>
      <c r="F557" s="914"/>
    </row>
    <row r="558" spans="1:6" x14ac:dyDescent="0.2">
      <c r="A558" s="915" t="s">
        <v>1070</v>
      </c>
      <c r="B558" s="916">
        <v>42425</v>
      </c>
      <c r="C558" s="910">
        <v>43260000</v>
      </c>
      <c r="D558" s="910">
        <v>43260000</v>
      </c>
      <c r="E558" s="910">
        <v>0</v>
      </c>
      <c r="F558" s="914">
        <v>1</v>
      </c>
    </row>
    <row r="559" spans="1:6" x14ac:dyDescent="0.2">
      <c r="A559" s="913" t="s">
        <v>1561</v>
      </c>
      <c r="B559" s="916"/>
      <c r="C559" s="910"/>
      <c r="D559" s="910"/>
      <c r="E559" s="910"/>
      <c r="F559" s="914"/>
    </row>
    <row r="560" spans="1:6" x14ac:dyDescent="0.2">
      <c r="A560" s="915" t="s">
        <v>2441</v>
      </c>
      <c r="B560" s="916">
        <v>42530</v>
      </c>
      <c r="C560" s="910">
        <v>63654000</v>
      </c>
      <c r="D560" s="910">
        <v>62769917</v>
      </c>
      <c r="E560" s="910">
        <v>884083</v>
      </c>
      <c r="F560" s="914">
        <v>0.98611111634775506</v>
      </c>
    </row>
    <row r="561" spans="1:6" x14ac:dyDescent="0.2">
      <c r="A561" s="913" t="s">
        <v>1579</v>
      </c>
      <c r="B561" s="916"/>
      <c r="C561" s="910"/>
      <c r="D561" s="910"/>
      <c r="E561" s="910"/>
      <c r="F561" s="914"/>
    </row>
    <row r="562" spans="1:6" x14ac:dyDescent="0.2">
      <c r="A562" s="915" t="s">
        <v>1580</v>
      </c>
      <c r="B562" s="916">
        <v>42431</v>
      </c>
      <c r="C562" s="910">
        <v>30900000</v>
      </c>
      <c r="D562" s="910">
        <v>30814167</v>
      </c>
      <c r="E562" s="910">
        <v>85833</v>
      </c>
      <c r="F562" s="914">
        <v>0.99722223300970869</v>
      </c>
    </row>
    <row r="563" spans="1:6" x14ac:dyDescent="0.2">
      <c r="A563" s="913" t="s">
        <v>1582</v>
      </c>
      <c r="B563" s="916"/>
      <c r="C563" s="910"/>
      <c r="D563" s="910"/>
      <c r="E563" s="910"/>
      <c r="F563" s="914"/>
    </row>
    <row r="564" spans="1:6" x14ac:dyDescent="0.2">
      <c r="A564" s="915" t="s">
        <v>3</v>
      </c>
      <c r="B564" s="916">
        <v>42339</v>
      </c>
      <c r="C564" s="910">
        <v>444600000</v>
      </c>
      <c r="D564" s="910">
        <v>365337152</v>
      </c>
      <c r="E564" s="910">
        <v>79262848</v>
      </c>
      <c r="F564" s="914">
        <v>0.82172098965362128</v>
      </c>
    </row>
    <row r="565" spans="1:6" x14ac:dyDescent="0.2">
      <c r="A565" s="913" t="s">
        <v>1583</v>
      </c>
      <c r="B565" s="916"/>
      <c r="C565" s="910"/>
      <c r="D565" s="910"/>
      <c r="E565" s="910"/>
      <c r="F565" s="914"/>
    </row>
    <row r="566" spans="1:6" x14ac:dyDescent="0.2">
      <c r="A566" s="915" t="s">
        <v>1034</v>
      </c>
      <c r="B566" s="916">
        <v>42439</v>
      </c>
      <c r="C566" s="910">
        <v>38400000</v>
      </c>
      <c r="D566" s="910">
        <v>38400000</v>
      </c>
      <c r="E566" s="910">
        <v>0</v>
      </c>
      <c r="F566" s="914">
        <v>1</v>
      </c>
    </row>
    <row r="567" spans="1:6" x14ac:dyDescent="0.2">
      <c r="A567" s="913" t="s">
        <v>1584</v>
      </c>
      <c r="B567" s="916"/>
      <c r="C567" s="910"/>
      <c r="D567" s="910"/>
      <c r="E567" s="910"/>
      <c r="F567" s="914"/>
    </row>
    <row r="568" spans="1:6" x14ac:dyDescent="0.2">
      <c r="A568" s="915" t="s">
        <v>1585</v>
      </c>
      <c r="B568" s="916">
        <v>42432</v>
      </c>
      <c r="C568" s="910">
        <v>78000000</v>
      </c>
      <c r="D568" s="910">
        <v>78000000</v>
      </c>
      <c r="E568" s="910">
        <v>0</v>
      </c>
      <c r="F568" s="914">
        <v>1</v>
      </c>
    </row>
    <row r="569" spans="1:6" x14ac:dyDescent="0.2">
      <c r="A569" s="913" t="s">
        <v>1587</v>
      </c>
      <c r="B569" s="916"/>
      <c r="C569" s="910"/>
      <c r="D569" s="910"/>
      <c r="E569" s="910"/>
      <c r="F569" s="914"/>
    </row>
    <row r="570" spans="1:6" x14ac:dyDescent="0.2">
      <c r="A570" s="915" t="s">
        <v>1588</v>
      </c>
      <c r="B570" s="916">
        <v>42439</v>
      </c>
      <c r="C570" s="910">
        <v>30900000</v>
      </c>
      <c r="D570" s="910">
        <v>30900000</v>
      </c>
      <c r="E570" s="910">
        <v>0</v>
      </c>
      <c r="F570" s="914">
        <v>1</v>
      </c>
    </row>
    <row r="571" spans="1:6" x14ac:dyDescent="0.2">
      <c r="A571" s="913" t="s">
        <v>1606</v>
      </c>
      <c r="B571" s="916"/>
      <c r="C571" s="910"/>
      <c r="D571" s="910"/>
      <c r="E571" s="910"/>
      <c r="F571" s="914"/>
    </row>
    <row r="572" spans="1:6" x14ac:dyDescent="0.2">
      <c r="A572" s="915" t="s">
        <v>1339</v>
      </c>
      <c r="B572" s="916">
        <v>42456</v>
      </c>
      <c r="C572" s="910">
        <v>150000000</v>
      </c>
      <c r="D572" s="910">
        <v>150000000</v>
      </c>
      <c r="E572" s="910">
        <v>0</v>
      </c>
      <c r="F572" s="914">
        <v>1</v>
      </c>
    </row>
    <row r="573" spans="1:6" x14ac:dyDescent="0.2">
      <c r="A573" s="913" t="s">
        <v>1595</v>
      </c>
      <c r="B573" s="916"/>
      <c r="C573" s="910"/>
      <c r="D573" s="910"/>
      <c r="E573" s="910"/>
      <c r="F573" s="914"/>
    </row>
    <row r="574" spans="1:6" x14ac:dyDescent="0.2">
      <c r="A574" s="915" t="s">
        <v>1031</v>
      </c>
      <c r="B574" s="916">
        <v>42241</v>
      </c>
      <c r="C574" s="910">
        <v>4100000</v>
      </c>
      <c r="D574" s="910">
        <v>4100000</v>
      </c>
      <c r="E574" s="910">
        <v>0</v>
      </c>
      <c r="F574" s="914">
        <v>1</v>
      </c>
    </row>
    <row r="575" spans="1:6" x14ac:dyDescent="0.2">
      <c r="A575" s="913" t="s">
        <v>1597</v>
      </c>
      <c r="B575" s="916"/>
      <c r="C575" s="910"/>
      <c r="D575" s="910"/>
      <c r="E575" s="910"/>
      <c r="F575" s="914"/>
    </row>
    <row r="576" spans="1:6" x14ac:dyDescent="0.2">
      <c r="A576" s="915" t="s">
        <v>86</v>
      </c>
      <c r="B576" s="916">
        <v>42447</v>
      </c>
      <c r="C576" s="910">
        <v>1226994</v>
      </c>
      <c r="D576" s="910">
        <v>1226994</v>
      </c>
      <c r="E576" s="910">
        <v>0</v>
      </c>
      <c r="F576" s="914">
        <v>1</v>
      </c>
    </row>
    <row r="577" spans="1:6" x14ac:dyDescent="0.2">
      <c r="A577" s="913" t="s">
        <v>1601</v>
      </c>
      <c r="B577" s="916"/>
      <c r="C577" s="910"/>
      <c r="D577" s="910"/>
      <c r="E577" s="910"/>
      <c r="F577" s="914"/>
    </row>
    <row r="578" spans="1:6" x14ac:dyDescent="0.2">
      <c r="A578" s="915" t="s">
        <v>1602</v>
      </c>
      <c r="B578" s="916">
        <v>42348</v>
      </c>
      <c r="C578" s="910">
        <v>334080000</v>
      </c>
      <c r="D578" s="910">
        <v>334080000</v>
      </c>
      <c r="E578" s="910">
        <v>0</v>
      </c>
      <c r="F578" s="914">
        <v>1</v>
      </c>
    </row>
    <row r="579" spans="1:6" x14ac:dyDescent="0.2">
      <c r="A579" s="913" t="s">
        <v>1613</v>
      </c>
      <c r="B579" s="916"/>
      <c r="C579" s="910"/>
      <c r="D579" s="910"/>
      <c r="E579" s="910"/>
      <c r="F579" s="914"/>
    </row>
    <row r="580" spans="1:6" x14ac:dyDescent="0.2">
      <c r="A580" s="915" t="s">
        <v>1614</v>
      </c>
      <c r="B580" s="916">
        <v>42477</v>
      </c>
      <c r="C580" s="910">
        <v>7442000</v>
      </c>
      <c r="D580" s="910">
        <v>2788000</v>
      </c>
      <c r="E580" s="910">
        <v>4654000</v>
      </c>
      <c r="F580" s="914">
        <v>0.37463047567858104</v>
      </c>
    </row>
    <row r="581" spans="1:6" x14ac:dyDescent="0.2">
      <c r="A581" s="913" t="s">
        <v>1618</v>
      </c>
      <c r="B581" s="916"/>
      <c r="C581" s="910"/>
      <c r="D581" s="910"/>
      <c r="E581" s="910"/>
      <c r="F581" s="914"/>
    </row>
    <row r="582" spans="1:6" x14ac:dyDescent="0.2">
      <c r="A582" s="915" t="s">
        <v>144</v>
      </c>
      <c r="B582" s="916">
        <v>42582</v>
      </c>
      <c r="C582" s="910">
        <v>559200000</v>
      </c>
      <c r="D582" s="910">
        <v>559200000</v>
      </c>
      <c r="E582" s="910">
        <v>0</v>
      </c>
      <c r="F582" s="914">
        <v>1</v>
      </c>
    </row>
    <row r="583" spans="1:6" x14ac:dyDescent="0.2">
      <c r="A583" s="913" t="s">
        <v>1623</v>
      </c>
      <c r="B583" s="916"/>
      <c r="C583" s="910"/>
      <c r="D583" s="910"/>
      <c r="E583" s="910"/>
      <c r="F583" s="914"/>
    </row>
    <row r="584" spans="1:6" x14ac:dyDescent="0.2">
      <c r="A584" s="915" t="s">
        <v>1624</v>
      </c>
      <c r="B584" s="916">
        <v>42487</v>
      </c>
      <c r="C584" s="910">
        <v>3035520</v>
      </c>
      <c r="D584" s="910">
        <v>2009011</v>
      </c>
      <c r="E584" s="910">
        <v>1026509</v>
      </c>
      <c r="F584" s="914">
        <v>0.66183421621336702</v>
      </c>
    </row>
    <row r="585" spans="1:6" x14ac:dyDescent="0.2">
      <c r="A585" s="913" t="s">
        <v>1628</v>
      </c>
      <c r="B585" s="916"/>
      <c r="C585" s="910"/>
      <c r="D585" s="910"/>
      <c r="E585" s="910"/>
      <c r="F585" s="914"/>
    </row>
    <row r="586" spans="1:6" x14ac:dyDescent="0.2">
      <c r="A586" s="915" t="s">
        <v>1629</v>
      </c>
      <c r="B586" s="916">
        <v>42451</v>
      </c>
      <c r="C586" s="910">
        <v>4721200</v>
      </c>
      <c r="D586" s="910">
        <v>4721200</v>
      </c>
      <c r="E586" s="910">
        <v>0</v>
      </c>
      <c r="F586" s="914">
        <v>1</v>
      </c>
    </row>
    <row r="587" spans="1:6" x14ac:dyDescent="0.2">
      <c r="A587" s="913" t="s">
        <v>1633</v>
      </c>
      <c r="B587" s="916"/>
      <c r="C587" s="910"/>
      <c r="D587" s="910"/>
      <c r="E587" s="910"/>
      <c r="F587" s="914"/>
    </row>
    <row r="588" spans="1:6" x14ac:dyDescent="0.2">
      <c r="A588" s="915" t="s">
        <v>1025</v>
      </c>
      <c r="B588" s="916">
        <v>42482</v>
      </c>
      <c r="C588" s="910">
        <v>28000000</v>
      </c>
      <c r="D588" s="910">
        <v>27999337</v>
      </c>
      <c r="E588" s="910">
        <v>663</v>
      </c>
      <c r="F588" s="914">
        <v>0.9999763214285714</v>
      </c>
    </row>
    <row r="589" spans="1:6" x14ac:dyDescent="0.2">
      <c r="A589" s="913" t="s">
        <v>1639</v>
      </c>
      <c r="B589" s="916"/>
      <c r="C589" s="910"/>
      <c r="D589" s="910"/>
      <c r="E589" s="910"/>
      <c r="F589" s="914"/>
    </row>
    <row r="590" spans="1:6" x14ac:dyDescent="0.2">
      <c r="A590" s="915" t="s">
        <v>1640</v>
      </c>
      <c r="B590" s="916">
        <v>42468</v>
      </c>
      <c r="C590" s="910">
        <v>4174276985</v>
      </c>
      <c r="D590" s="910">
        <v>3756849288</v>
      </c>
      <c r="E590" s="910">
        <v>417427697</v>
      </c>
      <c r="F590" s="914">
        <v>0.90000000035934369</v>
      </c>
    </row>
    <row r="591" spans="1:6" x14ac:dyDescent="0.2">
      <c r="A591" s="913" t="s">
        <v>1642</v>
      </c>
      <c r="B591" s="916"/>
      <c r="C591" s="910"/>
      <c r="D591" s="910"/>
      <c r="E591" s="910"/>
      <c r="F591" s="914"/>
    </row>
    <row r="592" spans="1:6" x14ac:dyDescent="0.2">
      <c r="A592" s="915" t="s">
        <v>53</v>
      </c>
      <c r="B592" s="916">
        <v>42531</v>
      </c>
      <c r="C592" s="910">
        <v>41620000</v>
      </c>
      <c r="D592" s="910">
        <v>35165145</v>
      </c>
      <c r="E592" s="910">
        <v>6454855</v>
      </c>
      <c r="F592" s="914">
        <v>0.84490977895242669</v>
      </c>
    </row>
    <row r="593" spans="1:6" x14ac:dyDescent="0.2">
      <c r="A593" s="913" t="s">
        <v>1746</v>
      </c>
      <c r="B593" s="916"/>
      <c r="C593" s="910"/>
      <c r="D593" s="910"/>
      <c r="E593" s="910"/>
      <c r="F593" s="914"/>
    </row>
    <row r="594" spans="1:6" x14ac:dyDescent="0.2">
      <c r="A594" s="915" t="s">
        <v>284</v>
      </c>
      <c r="B594" s="916">
        <v>42510</v>
      </c>
      <c r="C594" s="910">
        <v>33500000</v>
      </c>
      <c r="D594" s="910">
        <v>28680629</v>
      </c>
      <c r="E594" s="910">
        <v>4819371</v>
      </c>
      <c r="F594" s="914">
        <v>0.85613817910447765</v>
      </c>
    </row>
    <row r="595" spans="1:6" x14ac:dyDescent="0.2">
      <c r="A595" s="913" t="s">
        <v>1751</v>
      </c>
      <c r="B595" s="916"/>
      <c r="C595" s="910"/>
      <c r="D595" s="910"/>
      <c r="E595" s="910"/>
      <c r="F595" s="914"/>
    </row>
    <row r="596" spans="1:6" x14ac:dyDescent="0.2">
      <c r="A596" s="915" t="s">
        <v>1752</v>
      </c>
      <c r="B596" s="916">
        <v>42258</v>
      </c>
      <c r="C596" s="910">
        <v>12975945</v>
      </c>
      <c r="D596" s="910">
        <v>12975945</v>
      </c>
      <c r="E596" s="910">
        <v>0</v>
      </c>
      <c r="F596" s="914">
        <v>1</v>
      </c>
    </row>
    <row r="597" spans="1:6" x14ac:dyDescent="0.2">
      <c r="A597" s="913" t="s">
        <v>1758</v>
      </c>
      <c r="B597" s="916"/>
      <c r="C597" s="910"/>
      <c r="D597" s="910"/>
      <c r="E597" s="910"/>
      <c r="F597" s="914"/>
    </row>
    <row r="598" spans="1:6" x14ac:dyDescent="0.2">
      <c r="A598" s="915" t="s">
        <v>1759</v>
      </c>
      <c r="B598" s="916">
        <v>42532</v>
      </c>
      <c r="C598" s="910">
        <v>11000000</v>
      </c>
      <c r="D598" s="910">
        <v>4179537</v>
      </c>
      <c r="E598" s="910">
        <v>6820463</v>
      </c>
      <c r="F598" s="914">
        <v>0.3799579090909091</v>
      </c>
    </row>
    <row r="599" spans="1:6" x14ac:dyDescent="0.2">
      <c r="A599" s="913" t="s">
        <v>1764</v>
      </c>
      <c r="B599" s="916"/>
      <c r="C599" s="910"/>
      <c r="D599" s="910"/>
      <c r="E599" s="910"/>
      <c r="F599" s="914"/>
    </row>
    <row r="600" spans="1:6" x14ac:dyDescent="0.2">
      <c r="A600" s="915" t="s">
        <v>290</v>
      </c>
      <c r="B600" s="916">
        <v>42147</v>
      </c>
      <c r="C600" s="910">
        <v>10514762</v>
      </c>
      <c r="D600" s="910">
        <v>10514762</v>
      </c>
      <c r="E600" s="910">
        <v>0</v>
      </c>
      <c r="F600" s="914">
        <v>1</v>
      </c>
    </row>
    <row r="601" spans="1:6" x14ac:dyDescent="0.2">
      <c r="A601" s="913" t="s">
        <v>1979</v>
      </c>
      <c r="B601" s="916"/>
      <c r="C601" s="910"/>
      <c r="D601" s="910"/>
      <c r="E601" s="910"/>
      <c r="F601" s="914"/>
    </row>
    <row r="602" spans="1:6" x14ac:dyDescent="0.2">
      <c r="A602" s="915" t="s">
        <v>272</v>
      </c>
      <c r="B602" s="916">
        <v>42515</v>
      </c>
      <c r="C602" s="910">
        <v>5874000</v>
      </c>
      <c r="D602" s="910">
        <v>4940614</v>
      </c>
      <c r="E602" s="910">
        <v>933386</v>
      </c>
      <c r="F602" s="914">
        <v>0.84109874021109976</v>
      </c>
    </row>
    <row r="603" spans="1:6" x14ac:dyDescent="0.2">
      <c r="A603" s="913" t="s">
        <v>1859</v>
      </c>
      <c r="B603" s="916"/>
      <c r="C603" s="910"/>
      <c r="D603" s="910"/>
      <c r="E603" s="910"/>
      <c r="F603" s="914"/>
    </row>
    <row r="604" spans="1:6" x14ac:dyDescent="0.2">
      <c r="A604" s="915" t="s">
        <v>1860</v>
      </c>
      <c r="B604" s="916">
        <v>42454</v>
      </c>
      <c r="C604" s="910">
        <v>18836508</v>
      </c>
      <c r="D604" s="910">
        <v>18291633</v>
      </c>
      <c r="E604" s="910">
        <v>544875</v>
      </c>
      <c r="F604" s="914">
        <v>0.97107346011267059</v>
      </c>
    </row>
    <row r="605" spans="1:6" x14ac:dyDescent="0.2">
      <c r="A605" s="913" t="s">
        <v>1862</v>
      </c>
      <c r="B605" s="916"/>
      <c r="C605" s="910"/>
      <c r="D605" s="910"/>
      <c r="E605" s="910"/>
      <c r="F605" s="914"/>
    </row>
    <row r="606" spans="1:6" x14ac:dyDescent="0.2">
      <c r="A606" s="915" t="s">
        <v>203</v>
      </c>
      <c r="B606" s="916">
        <v>42236</v>
      </c>
      <c r="C606" s="910">
        <v>7714000</v>
      </c>
      <c r="D606" s="910">
        <v>7714000</v>
      </c>
      <c r="E606" s="910">
        <v>0</v>
      </c>
      <c r="F606" s="914">
        <v>1</v>
      </c>
    </row>
    <row r="607" spans="1:6" x14ac:dyDescent="0.2">
      <c r="A607" s="913" t="s">
        <v>1872</v>
      </c>
      <c r="B607" s="916"/>
      <c r="C607" s="910"/>
      <c r="D607" s="910"/>
      <c r="E607" s="910"/>
      <c r="F607" s="914"/>
    </row>
    <row r="608" spans="1:6" x14ac:dyDescent="0.2">
      <c r="A608" s="915" t="s">
        <v>1873</v>
      </c>
      <c r="B608" s="916">
        <v>42455</v>
      </c>
      <c r="C608" s="910">
        <v>2000000</v>
      </c>
      <c r="D608" s="910">
        <v>824760</v>
      </c>
      <c r="E608" s="910">
        <v>1175240</v>
      </c>
      <c r="F608" s="914">
        <v>0.41238000000000002</v>
      </c>
    </row>
    <row r="609" spans="1:6" x14ac:dyDescent="0.2">
      <c r="A609" s="913" t="s">
        <v>1878</v>
      </c>
      <c r="B609" s="916"/>
      <c r="C609" s="910"/>
      <c r="D609" s="910"/>
      <c r="E609" s="910"/>
      <c r="F609" s="914"/>
    </row>
    <row r="610" spans="1:6" x14ac:dyDescent="0.2">
      <c r="A610" s="915" t="s">
        <v>1879</v>
      </c>
      <c r="B610" s="916">
        <v>42582</v>
      </c>
      <c r="C610" s="910">
        <v>566000000</v>
      </c>
      <c r="D610" s="910">
        <v>429459129</v>
      </c>
      <c r="E610" s="910">
        <v>136540871</v>
      </c>
      <c r="F610" s="914">
        <v>0.75876171201413423</v>
      </c>
    </row>
    <row r="611" spans="1:6" x14ac:dyDescent="0.2">
      <c r="A611" s="913" t="s">
        <v>1883</v>
      </c>
      <c r="B611" s="916"/>
      <c r="C611" s="910"/>
      <c r="D611" s="910"/>
      <c r="E611" s="910"/>
      <c r="F611" s="914"/>
    </row>
    <row r="612" spans="1:6" x14ac:dyDescent="0.2">
      <c r="A612" s="915" t="s">
        <v>1884</v>
      </c>
      <c r="B612" s="916">
        <v>42413</v>
      </c>
      <c r="C612" s="910">
        <v>18000000</v>
      </c>
      <c r="D612" s="910">
        <v>18000000</v>
      </c>
      <c r="E612" s="910">
        <v>0</v>
      </c>
      <c r="F612" s="914">
        <v>1</v>
      </c>
    </row>
    <row r="613" spans="1:6" x14ac:dyDescent="0.2">
      <c r="A613" s="913" t="s">
        <v>1891</v>
      </c>
      <c r="B613" s="916"/>
      <c r="C613" s="910"/>
      <c r="D613" s="910"/>
      <c r="E613" s="910"/>
      <c r="F613" s="914"/>
    </row>
    <row r="614" spans="1:6" x14ac:dyDescent="0.2">
      <c r="A614" s="915" t="s">
        <v>1112</v>
      </c>
      <c r="B614" s="916">
        <v>42450</v>
      </c>
      <c r="C614" s="910">
        <v>1433352777</v>
      </c>
      <c r="D614" s="910">
        <v>1433352777</v>
      </c>
      <c r="E614" s="910">
        <v>0</v>
      </c>
      <c r="F614" s="914">
        <v>1</v>
      </c>
    </row>
    <row r="615" spans="1:6" x14ac:dyDescent="0.2">
      <c r="A615" s="913" t="s">
        <v>1895</v>
      </c>
      <c r="B615" s="916"/>
      <c r="C615" s="910"/>
      <c r="D615" s="910"/>
      <c r="E615" s="910"/>
      <c r="F615" s="914"/>
    </row>
    <row r="616" spans="1:6" x14ac:dyDescent="0.2">
      <c r="A616" s="915" t="s">
        <v>1896</v>
      </c>
      <c r="B616" s="916">
        <v>42511</v>
      </c>
      <c r="C616" s="910">
        <v>7800000</v>
      </c>
      <c r="D616" s="910">
        <v>7800000</v>
      </c>
      <c r="E616" s="910">
        <v>0</v>
      </c>
      <c r="F616" s="914">
        <v>1</v>
      </c>
    </row>
    <row r="617" spans="1:6" x14ac:dyDescent="0.2">
      <c r="A617" s="913" t="s">
        <v>1908</v>
      </c>
      <c r="B617" s="916"/>
      <c r="C617" s="910"/>
      <c r="D617" s="910"/>
      <c r="E617" s="910"/>
      <c r="F617" s="914"/>
    </row>
    <row r="618" spans="1:6" x14ac:dyDescent="0.2">
      <c r="A618" s="915" t="s">
        <v>1909</v>
      </c>
      <c r="B618" s="916">
        <v>42546</v>
      </c>
      <c r="C618" s="910">
        <v>28000000</v>
      </c>
      <c r="D618" s="910">
        <v>26596777</v>
      </c>
      <c r="E618" s="910">
        <v>1403223</v>
      </c>
      <c r="F618" s="914">
        <v>0.94988489285714284</v>
      </c>
    </row>
    <row r="619" spans="1:6" x14ac:dyDescent="0.2">
      <c r="A619" s="913" t="s">
        <v>1952</v>
      </c>
      <c r="B619" s="916"/>
      <c r="C619" s="910"/>
      <c r="D619" s="910"/>
      <c r="E619" s="910"/>
      <c r="F619" s="914"/>
    </row>
    <row r="620" spans="1:6" x14ac:dyDescent="0.2">
      <c r="A620" s="915" t="s">
        <v>1953</v>
      </c>
      <c r="B620" s="916">
        <v>42226</v>
      </c>
      <c r="C620" s="910">
        <v>8086410</v>
      </c>
      <c r="D620" s="910">
        <v>8086406</v>
      </c>
      <c r="E620" s="910">
        <v>4</v>
      </c>
      <c r="F620" s="914">
        <v>0.99999950534291482</v>
      </c>
    </row>
    <row r="621" spans="1:6" x14ac:dyDescent="0.2">
      <c r="A621" s="913" t="s">
        <v>1957</v>
      </c>
      <c r="B621" s="916"/>
      <c r="C621" s="910"/>
      <c r="D621" s="910"/>
      <c r="E621" s="910"/>
      <c r="F621" s="914"/>
    </row>
    <row r="622" spans="1:6" x14ac:dyDescent="0.2">
      <c r="A622" s="915" t="s">
        <v>1958</v>
      </c>
      <c r="B622" s="916">
        <v>42252</v>
      </c>
      <c r="C622" s="910">
        <v>5000000</v>
      </c>
      <c r="D622" s="910">
        <v>3489976</v>
      </c>
      <c r="E622" s="910">
        <v>1510024</v>
      </c>
      <c r="F622" s="914">
        <v>0.69799520000000004</v>
      </c>
    </row>
    <row r="623" spans="1:6" x14ac:dyDescent="0.2">
      <c r="A623" s="913" t="s">
        <v>1964</v>
      </c>
      <c r="B623" s="916"/>
      <c r="C623" s="910"/>
      <c r="D623" s="910"/>
      <c r="E623" s="910"/>
      <c r="F623" s="914"/>
    </row>
    <row r="624" spans="1:6" x14ac:dyDescent="0.2">
      <c r="A624" s="915" t="s">
        <v>38</v>
      </c>
      <c r="B624" s="916">
        <v>42582</v>
      </c>
      <c r="C624" s="910">
        <v>41552000</v>
      </c>
      <c r="D624" s="910">
        <v>34550825</v>
      </c>
      <c r="E624" s="910">
        <v>7001175</v>
      </c>
      <c r="F624" s="914">
        <v>0.83150811031959959</v>
      </c>
    </row>
    <row r="625" spans="1:6" x14ac:dyDescent="0.2">
      <c r="A625" s="913" t="s">
        <v>1967</v>
      </c>
      <c r="B625" s="916"/>
      <c r="C625" s="910"/>
      <c r="D625" s="910"/>
      <c r="E625" s="910"/>
      <c r="F625" s="914"/>
    </row>
    <row r="626" spans="1:6" x14ac:dyDescent="0.2">
      <c r="A626" s="915" t="s">
        <v>1968</v>
      </c>
      <c r="B626" s="916">
        <v>42443</v>
      </c>
      <c r="C626" s="910">
        <v>61200000</v>
      </c>
      <c r="D626" s="910">
        <v>61200000</v>
      </c>
      <c r="E626" s="910">
        <v>0</v>
      </c>
      <c r="F626" s="914">
        <v>1</v>
      </c>
    </row>
    <row r="627" spans="1:6" x14ac:dyDescent="0.2">
      <c r="A627" s="913" t="s">
        <v>1973</v>
      </c>
      <c r="B627" s="916"/>
      <c r="C627" s="910"/>
      <c r="D627" s="910"/>
      <c r="E627" s="910"/>
      <c r="F627" s="914"/>
    </row>
    <row r="628" spans="1:6" x14ac:dyDescent="0.2">
      <c r="A628" s="915" t="s">
        <v>1974</v>
      </c>
      <c r="B628" s="916">
        <v>42296</v>
      </c>
      <c r="C628" s="910">
        <v>2365972</v>
      </c>
      <c r="D628" s="910">
        <v>2365972</v>
      </c>
      <c r="E628" s="910">
        <v>0</v>
      </c>
      <c r="F628" s="914">
        <v>1</v>
      </c>
    </row>
    <row r="629" spans="1:6" x14ac:dyDescent="0.2">
      <c r="A629" s="913" t="s">
        <v>1987</v>
      </c>
      <c r="B629" s="916"/>
      <c r="C629" s="910"/>
      <c r="D629" s="910"/>
      <c r="E629" s="910"/>
      <c r="F629" s="914"/>
    </row>
    <row r="630" spans="1:6" x14ac:dyDescent="0.2">
      <c r="A630" s="915" t="s">
        <v>1988</v>
      </c>
      <c r="B630" s="916">
        <v>42447</v>
      </c>
      <c r="C630" s="910">
        <v>18000000</v>
      </c>
      <c r="D630" s="910">
        <v>18000000</v>
      </c>
      <c r="E630" s="910">
        <v>0</v>
      </c>
      <c r="F630" s="914">
        <v>1</v>
      </c>
    </row>
    <row r="631" spans="1:6" x14ac:dyDescent="0.2">
      <c r="A631" s="913" t="s">
        <v>1990</v>
      </c>
      <c r="B631" s="916"/>
      <c r="C631" s="910"/>
      <c r="D631" s="910"/>
      <c r="E631" s="910"/>
      <c r="F631" s="914"/>
    </row>
    <row r="632" spans="1:6" x14ac:dyDescent="0.2">
      <c r="A632" s="915" t="s">
        <v>1991</v>
      </c>
      <c r="B632" s="916">
        <v>42250</v>
      </c>
      <c r="C632" s="910">
        <v>11167296</v>
      </c>
      <c r="D632" s="910">
        <v>0</v>
      </c>
      <c r="E632" s="910">
        <v>11167296</v>
      </c>
      <c r="F632" s="914">
        <v>0</v>
      </c>
    </row>
    <row r="633" spans="1:6" x14ac:dyDescent="0.2">
      <c r="A633" s="913" t="s">
        <v>1996</v>
      </c>
      <c r="B633" s="916"/>
      <c r="C633" s="910"/>
      <c r="D633" s="910"/>
      <c r="E633" s="910"/>
      <c r="F633" s="914"/>
    </row>
    <row r="634" spans="1:6" x14ac:dyDescent="0.2">
      <c r="A634" s="915" t="s">
        <v>1997</v>
      </c>
      <c r="B634" s="916">
        <v>42545</v>
      </c>
      <c r="C634" s="910">
        <v>43417333</v>
      </c>
      <c r="D634" s="910">
        <v>39667287</v>
      </c>
      <c r="E634" s="910">
        <v>3750046</v>
      </c>
      <c r="F634" s="914">
        <v>0.91362790524236026</v>
      </c>
    </row>
    <row r="635" spans="1:6" x14ac:dyDescent="0.2">
      <c r="A635" s="913" t="s">
        <v>1999</v>
      </c>
      <c r="B635" s="916"/>
      <c r="C635" s="910"/>
      <c r="D635" s="910"/>
      <c r="E635" s="910"/>
      <c r="F635" s="914"/>
    </row>
    <row r="636" spans="1:6" x14ac:dyDescent="0.2">
      <c r="A636" s="915" t="s">
        <v>2000</v>
      </c>
      <c r="B636" s="916">
        <v>42357</v>
      </c>
      <c r="C636" s="910">
        <v>12000000</v>
      </c>
      <c r="D636" s="910">
        <v>12000000</v>
      </c>
      <c r="E636" s="910">
        <v>0</v>
      </c>
      <c r="F636" s="914">
        <v>1</v>
      </c>
    </row>
    <row r="637" spans="1:6" x14ac:dyDescent="0.2">
      <c r="A637" s="913" t="s">
        <v>2006</v>
      </c>
      <c r="B637" s="916"/>
      <c r="C637" s="910"/>
      <c r="D637" s="910"/>
      <c r="E637" s="910"/>
      <c r="F637" s="914"/>
    </row>
    <row r="638" spans="1:6" x14ac:dyDescent="0.2">
      <c r="A638" s="915" t="s">
        <v>2007</v>
      </c>
      <c r="B638" s="916">
        <v>42567</v>
      </c>
      <c r="C638" s="910">
        <v>1607400</v>
      </c>
      <c r="D638" s="910">
        <v>1586586</v>
      </c>
      <c r="E638" s="910">
        <v>20814</v>
      </c>
      <c r="F638" s="914">
        <v>0.98705113848450909</v>
      </c>
    </row>
    <row r="639" spans="1:6" x14ac:dyDescent="0.2">
      <c r="A639" s="913" t="s">
        <v>2010</v>
      </c>
      <c r="B639" s="916"/>
      <c r="C639" s="910"/>
      <c r="D639" s="910"/>
      <c r="E639" s="910"/>
      <c r="F639" s="914"/>
    </row>
    <row r="640" spans="1:6" x14ac:dyDescent="0.2">
      <c r="A640" s="915" t="s">
        <v>2011</v>
      </c>
      <c r="B640" s="916">
        <v>42522</v>
      </c>
      <c r="C640" s="910">
        <v>124930204</v>
      </c>
      <c r="D640" s="910">
        <v>124874187</v>
      </c>
      <c r="E640" s="910">
        <v>56017</v>
      </c>
      <c r="F640" s="914">
        <v>0.99955161363540235</v>
      </c>
    </row>
    <row r="641" spans="1:6" x14ac:dyDescent="0.2">
      <c r="A641" s="913" t="s">
        <v>2026</v>
      </c>
      <c r="B641" s="916"/>
      <c r="C641" s="910"/>
      <c r="D641" s="910"/>
      <c r="E641" s="910"/>
      <c r="F641" s="914"/>
    </row>
    <row r="642" spans="1:6" x14ac:dyDescent="0.2">
      <c r="A642" s="915" t="s">
        <v>2027</v>
      </c>
      <c r="B642" s="916">
        <v>42537</v>
      </c>
      <c r="C642" s="910">
        <v>213397762</v>
      </c>
      <c r="D642" s="910">
        <v>213397758</v>
      </c>
      <c r="E642" s="910">
        <v>4</v>
      </c>
      <c r="F642" s="914">
        <v>0.99999998125566092</v>
      </c>
    </row>
    <row r="643" spans="1:6" x14ac:dyDescent="0.2">
      <c r="A643" s="913" t="s">
        <v>2030</v>
      </c>
      <c r="B643" s="916"/>
      <c r="C643" s="910"/>
      <c r="D643" s="910"/>
      <c r="E643" s="910"/>
      <c r="F643" s="914"/>
    </row>
    <row r="644" spans="1:6" x14ac:dyDescent="0.2">
      <c r="A644" s="915" t="s">
        <v>2031</v>
      </c>
      <c r="B644" s="916">
        <v>42370</v>
      </c>
      <c r="C644" s="910">
        <v>10800000</v>
      </c>
      <c r="D644" s="910">
        <v>7200000</v>
      </c>
      <c r="E644" s="910">
        <v>3600000</v>
      </c>
      <c r="F644" s="914">
        <v>0.66666666666666663</v>
      </c>
    </row>
    <row r="645" spans="1:6" x14ac:dyDescent="0.2">
      <c r="A645" s="913" t="s">
        <v>2033</v>
      </c>
      <c r="B645" s="916"/>
      <c r="C645" s="910"/>
      <c r="D645" s="910"/>
      <c r="E645" s="910"/>
      <c r="F645" s="914"/>
    </row>
    <row r="646" spans="1:6" x14ac:dyDescent="0.2">
      <c r="A646" s="915" t="s">
        <v>2034</v>
      </c>
      <c r="B646" s="916">
        <v>42461</v>
      </c>
      <c r="C646" s="910">
        <v>32400000</v>
      </c>
      <c r="D646" s="910">
        <v>28800000</v>
      </c>
      <c r="E646" s="910">
        <v>3600000</v>
      </c>
      <c r="F646" s="914">
        <v>0.88888888888888884</v>
      </c>
    </row>
    <row r="647" spans="1:6" x14ac:dyDescent="0.2">
      <c r="A647" s="913" t="s">
        <v>2036</v>
      </c>
      <c r="B647" s="916"/>
      <c r="C647" s="910"/>
      <c r="D647" s="910"/>
      <c r="E647" s="910"/>
      <c r="F647" s="914"/>
    </row>
    <row r="648" spans="1:6" x14ac:dyDescent="0.2">
      <c r="A648" s="915" t="s">
        <v>2037</v>
      </c>
      <c r="B648" s="916">
        <v>42370</v>
      </c>
      <c r="C648" s="910">
        <v>10800000</v>
      </c>
      <c r="D648" s="910">
        <v>9000000</v>
      </c>
      <c r="E648" s="910">
        <v>1800000</v>
      </c>
      <c r="F648" s="914">
        <v>0.83333333333333337</v>
      </c>
    </row>
    <row r="649" spans="1:6" x14ac:dyDescent="0.2">
      <c r="A649" s="913" t="s">
        <v>2038</v>
      </c>
      <c r="B649" s="916"/>
      <c r="C649" s="910"/>
      <c r="D649" s="910"/>
      <c r="E649" s="910"/>
      <c r="F649" s="914"/>
    </row>
    <row r="650" spans="1:6" x14ac:dyDescent="0.2">
      <c r="A650" s="915" t="s">
        <v>2039</v>
      </c>
      <c r="B650" s="916">
        <v>42370</v>
      </c>
      <c r="C650" s="910">
        <v>10800000</v>
      </c>
      <c r="D650" s="910">
        <v>10800000</v>
      </c>
      <c r="E650" s="910">
        <v>0</v>
      </c>
      <c r="F650" s="914">
        <v>1</v>
      </c>
    </row>
    <row r="651" spans="1:6" x14ac:dyDescent="0.2">
      <c r="A651" s="913" t="s">
        <v>2041</v>
      </c>
      <c r="B651" s="916"/>
      <c r="C651" s="910"/>
      <c r="D651" s="910"/>
      <c r="E651" s="910"/>
      <c r="F651" s="914"/>
    </row>
    <row r="652" spans="1:6" x14ac:dyDescent="0.2">
      <c r="A652" s="915" t="s">
        <v>2042</v>
      </c>
      <c r="B652" s="916">
        <v>42370</v>
      </c>
      <c r="C652" s="910">
        <v>10800000</v>
      </c>
      <c r="D652" s="910">
        <v>10800000</v>
      </c>
      <c r="E652" s="910">
        <v>0</v>
      </c>
      <c r="F652" s="914">
        <v>1</v>
      </c>
    </row>
    <row r="653" spans="1:6" x14ac:dyDescent="0.2">
      <c r="A653" s="913" t="s">
        <v>2043</v>
      </c>
      <c r="B653" s="916"/>
      <c r="C653" s="910"/>
      <c r="D653" s="910"/>
      <c r="E653" s="910"/>
      <c r="F653" s="914"/>
    </row>
    <row r="654" spans="1:6" x14ac:dyDescent="0.2">
      <c r="A654" s="915" t="s">
        <v>2044</v>
      </c>
      <c r="B654" s="916">
        <v>42370</v>
      </c>
      <c r="C654" s="910">
        <v>10800000</v>
      </c>
      <c r="D654" s="910">
        <v>10800000</v>
      </c>
      <c r="E654" s="910">
        <v>0</v>
      </c>
      <c r="F654" s="914">
        <v>1</v>
      </c>
    </row>
    <row r="655" spans="1:6" x14ac:dyDescent="0.2">
      <c r="A655" s="913" t="s">
        <v>2046</v>
      </c>
      <c r="B655" s="916"/>
      <c r="C655" s="910"/>
      <c r="D655" s="910"/>
      <c r="E655" s="910"/>
      <c r="F655" s="914"/>
    </row>
    <row r="656" spans="1:6" x14ac:dyDescent="0.2">
      <c r="A656" s="915" t="s">
        <v>2047</v>
      </c>
      <c r="B656" s="916">
        <v>42461</v>
      </c>
      <c r="C656" s="910">
        <v>47700000</v>
      </c>
      <c r="D656" s="910">
        <v>47700000</v>
      </c>
      <c r="E656" s="910">
        <v>0</v>
      </c>
      <c r="F656" s="914">
        <v>1</v>
      </c>
    </row>
    <row r="657" spans="1:6" x14ac:dyDescent="0.2">
      <c r="A657" s="913" t="s">
        <v>2049</v>
      </c>
      <c r="B657" s="916"/>
      <c r="C657" s="910"/>
      <c r="D657" s="910"/>
      <c r="E657" s="910"/>
      <c r="F657" s="914"/>
    </row>
    <row r="658" spans="1:6" x14ac:dyDescent="0.2">
      <c r="A658" s="915" t="s">
        <v>2050</v>
      </c>
      <c r="B658" s="916">
        <v>42370</v>
      </c>
      <c r="C658" s="910">
        <v>10800000</v>
      </c>
      <c r="D658" s="910">
        <v>10800000</v>
      </c>
      <c r="E658" s="910">
        <v>0</v>
      </c>
      <c r="F658" s="914">
        <v>1</v>
      </c>
    </row>
    <row r="659" spans="1:6" x14ac:dyDescent="0.2">
      <c r="A659" s="913" t="s">
        <v>2051</v>
      </c>
      <c r="B659" s="916"/>
      <c r="C659" s="910"/>
      <c r="D659" s="910"/>
      <c r="E659" s="910"/>
      <c r="F659" s="914"/>
    </row>
    <row r="660" spans="1:6" x14ac:dyDescent="0.2">
      <c r="A660" s="915" t="s">
        <v>2052</v>
      </c>
      <c r="B660" s="916">
        <v>42370</v>
      </c>
      <c r="C660" s="910">
        <v>31800000</v>
      </c>
      <c r="D660" s="910">
        <v>31800000</v>
      </c>
      <c r="E660" s="910">
        <v>0</v>
      </c>
      <c r="F660" s="914">
        <v>1</v>
      </c>
    </row>
    <row r="661" spans="1:6" x14ac:dyDescent="0.2">
      <c r="A661" s="913" t="s">
        <v>2057</v>
      </c>
      <c r="B661" s="916"/>
      <c r="C661" s="910"/>
      <c r="D661" s="910"/>
      <c r="E661" s="910"/>
      <c r="F661" s="914"/>
    </row>
    <row r="662" spans="1:6" x14ac:dyDescent="0.2">
      <c r="A662" s="915" t="s">
        <v>2058</v>
      </c>
      <c r="B662" s="916">
        <v>42475</v>
      </c>
      <c r="C662" s="910">
        <v>52390000</v>
      </c>
      <c r="D662" s="910">
        <v>49166000</v>
      </c>
      <c r="E662" s="910">
        <v>3224000</v>
      </c>
      <c r="F662" s="914">
        <v>0.93846153846153846</v>
      </c>
    </row>
    <row r="663" spans="1:6" x14ac:dyDescent="0.2">
      <c r="A663" s="913" t="s">
        <v>2069</v>
      </c>
      <c r="B663" s="916"/>
      <c r="C663" s="910"/>
      <c r="D663" s="910"/>
      <c r="E663" s="910"/>
      <c r="F663" s="914"/>
    </row>
    <row r="664" spans="1:6" x14ac:dyDescent="0.2">
      <c r="A664" s="915" t="s">
        <v>2068</v>
      </c>
      <c r="B664" s="916">
        <v>42382</v>
      </c>
      <c r="C664" s="910">
        <v>10800000</v>
      </c>
      <c r="D664" s="910">
        <v>2880000</v>
      </c>
      <c r="E664" s="910">
        <v>7920000</v>
      </c>
      <c r="F664" s="914">
        <v>0.26666666666666666</v>
      </c>
    </row>
    <row r="665" spans="1:6" x14ac:dyDescent="0.2">
      <c r="A665" s="913" t="s">
        <v>2070</v>
      </c>
      <c r="B665" s="916"/>
      <c r="C665" s="910"/>
      <c r="D665" s="910"/>
      <c r="E665" s="910"/>
      <c r="F665" s="914"/>
    </row>
    <row r="666" spans="1:6" x14ac:dyDescent="0.2">
      <c r="A666" s="915" t="s">
        <v>2071</v>
      </c>
      <c r="B666" s="916">
        <v>42311</v>
      </c>
      <c r="C666" s="910">
        <v>450880</v>
      </c>
      <c r="D666" s="910">
        <v>450880</v>
      </c>
      <c r="E666" s="910">
        <v>0</v>
      </c>
      <c r="F666" s="914">
        <v>1</v>
      </c>
    </row>
    <row r="667" spans="1:6" x14ac:dyDescent="0.2">
      <c r="A667" s="913" t="s">
        <v>2080</v>
      </c>
      <c r="B667" s="916"/>
      <c r="C667" s="910"/>
      <c r="D667" s="910"/>
      <c r="E667" s="910"/>
      <c r="F667" s="914"/>
    </row>
    <row r="668" spans="1:6" x14ac:dyDescent="0.2">
      <c r="A668" s="915" t="s">
        <v>186</v>
      </c>
      <c r="B668" s="916">
        <v>42575</v>
      </c>
      <c r="C668" s="910">
        <v>85933385</v>
      </c>
      <c r="D668" s="910">
        <v>36504992</v>
      </c>
      <c r="E668" s="910">
        <v>49428393</v>
      </c>
      <c r="F668" s="914">
        <v>0.42480570269633855</v>
      </c>
    </row>
    <row r="669" spans="1:6" x14ac:dyDescent="0.2">
      <c r="A669" s="913" t="s">
        <v>2084</v>
      </c>
      <c r="B669" s="916"/>
      <c r="C669" s="910"/>
      <c r="D669" s="910"/>
      <c r="E669" s="910"/>
      <c r="F669" s="914"/>
    </row>
    <row r="670" spans="1:6" x14ac:dyDescent="0.2">
      <c r="A670" s="915" t="s">
        <v>2085</v>
      </c>
      <c r="B670" s="916">
        <v>42387</v>
      </c>
      <c r="C670" s="910">
        <v>3608000</v>
      </c>
      <c r="D670" s="910">
        <v>0</v>
      </c>
      <c r="E670" s="910">
        <v>3608000</v>
      </c>
      <c r="F670" s="914">
        <v>0</v>
      </c>
    </row>
    <row r="671" spans="1:6" x14ac:dyDescent="0.2">
      <c r="A671" s="913" t="s">
        <v>2093</v>
      </c>
      <c r="B671" s="916"/>
      <c r="C671" s="910"/>
      <c r="D671" s="910"/>
      <c r="E671" s="910"/>
      <c r="F671" s="914"/>
    </row>
    <row r="672" spans="1:6" x14ac:dyDescent="0.2">
      <c r="A672" s="915" t="s">
        <v>2094</v>
      </c>
      <c r="B672" s="916">
        <v>42587</v>
      </c>
      <c r="C672" s="910">
        <v>715000</v>
      </c>
      <c r="D672" s="910">
        <v>715000</v>
      </c>
      <c r="E672" s="910">
        <v>0</v>
      </c>
      <c r="F672" s="914">
        <v>1</v>
      </c>
    </row>
    <row r="673" spans="1:6" x14ac:dyDescent="0.2">
      <c r="A673" s="913" t="s">
        <v>2098</v>
      </c>
      <c r="B673" s="916"/>
      <c r="C673" s="910"/>
      <c r="D673" s="910"/>
      <c r="E673" s="910"/>
      <c r="F673" s="914"/>
    </row>
    <row r="674" spans="1:6" x14ac:dyDescent="0.2">
      <c r="A674" s="915" t="s">
        <v>2099</v>
      </c>
      <c r="B674" s="916">
        <v>42565</v>
      </c>
      <c r="C674" s="910">
        <v>80041097</v>
      </c>
      <c r="D674" s="910">
        <v>72440780</v>
      </c>
      <c r="E674" s="910">
        <v>7600317</v>
      </c>
      <c r="F674" s="914">
        <v>0.90504481716436247</v>
      </c>
    </row>
    <row r="675" spans="1:6" x14ac:dyDescent="0.2">
      <c r="A675" s="913" t="s">
        <v>2103</v>
      </c>
      <c r="B675" s="916"/>
      <c r="C675" s="910"/>
      <c r="D675" s="910"/>
      <c r="E675" s="910"/>
      <c r="F675" s="914"/>
    </row>
    <row r="676" spans="1:6" x14ac:dyDescent="0.2">
      <c r="A676" s="915" t="s">
        <v>2105</v>
      </c>
      <c r="B676" s="916">
        <v>42587</v>
      </c>
      <c r="C676" s="910">
        <v>20136071</v>
      </c>
      <c r="D676" s="910">
        <v>10106062</v>
      </c>
      <c r="E676" s="910">
        <v>10030009</v>
      </c>
      <c r="F676" s="914">
        <v>0.50188847665465619</v>
      </c>
    </row>
    <row r="677" spans="1:6" x14ac:dyDescent="0.2">
      <c r="A677" s="913" t="s">
        <v>2107</v>
      </c>
      <c r="B677" s="916"/>
      <c r="C677" s="910"/>
      <c r="D677" s="910"/>
      <c r="E677" s="910"/>
      <c r="F677" s="914"/>
    </row>
    <row r="678" spans="1:6" x14ac:dyDescent="0.2">
      <c r="A678" s="915" t="s">
        <v>2440</v>
      </c>
      <c r="B678" s="916">
        <v>42524</v>
      </c>
      <c r="C678" s="910">
        <v>255421490</v>
      </c>
      <c r="D678" s="910">
        <v>166442592</v>
      </c>
      <c r="E678" s="910">
        <v>88978898</v>
      </c>
      <c r="F678" s="914">
        <v>0.65163895175773978</v>
      </c>
    </row>
    <row r="679" spans="1:6" x14ac:dyDescent="0.2">
      <c r="A679" s="913" t="s">
        <v>2114</v>
      </c>
      <c r="B679" s="916"/>
      <c r="C679" s="910"/>
      <c r="D679" s="910"/>
      <c r="E679" s="910"/>
      <c r="F679" s="914"/>
    </row>
    <row r="680" spans="1:6" x14ac:dyDescent="0.2">
      <c r="A680" s="915" t="s">
        <v>2115</v>
      </c>
      <c r="B680" s="916">
        <v>42265</v>
      </c>
      <c r="C680" s="910">
        <v>812000</v>
      </c>
      <c r="D680" s="910">
        <v>812000</v>
      </c>
      <c r="E680" s="910">
        <v>0</v>
      </c>
      <c r="F680" s="914">
        <v>1</v>
      </c>
    </row>
    <row r="681" spans="1:6" x14ac:dyDescent="0.2">
      <c r="A681" s="913" t="s">
        <v>2124</v>
      </c>
      <c r="B681" s="916"/>
      <c r="C681" s="910"/>
      <c r="D681" s="910"/>
      <c r="E681" s="910"/>
      <c r="F681" s="914"/>
    </row>
    <row r="682" spans="1:6" x14ac:dyDescent="0.2">
      <c r="A682" s="915" t="s">
        <v>2125</v>
      </c>
      <c r="B682" s="916">
        <v>42282</v>
      </c>
      <c r="C682" s="910">
        <v>31577404</v>
      </c>
      <c r="D682" s="910">
        <v>0</v>
      </c>
      <c r="E682" s="910">
        <v>31577404</v>
      </c>
      <c r="F682" s="914">
        <v>0</v>
      </c>
    </row>
    <row r="683" spans="1:6" x14ac:dyDescent="0.2">
      <c r="A683" s="913" t="s">
        <v>2191</v>
      </c>
      <c r="B683" s="916"/>
      <c r="C683" s="910"/>
      <c r="D683" s="910"/>
      <c r="E683" s="910"/>
      <c r="F683" s="914"/>
    </row>
    <row r="684" spans="1:6" x14ac:dyDescent="0.2">
      <c r="A684" s="915" t="s">
        <v>1537</v>
      </c>
      <c r="B684" s="916">
        <v>42431</v>
      </c>
      <c r="C684" s="910">
        <v>33000000</v>
      </c>
      <c r="D684" s="910">
        <v>38316666</v>
      </c>
      <c r="E684" s="910">
        <v>-5316666</v>
      </c>
      <c r="F684" s="914">
        <v>1.1611110909090909</v>
      </c>
    </row>
    <row r="685" spans="1:6" x14ac:dyDescent="0.2">
      <c r="A685" s="913" t="s">
        <v>2196</v>
      </c>
      <c r="B685" s="916"/>
      <c r="C685" s="910"/>
      <c r="D685" s="910"/>
      <c r="E685" s="910"/>
      <c r="F685" s="914"/>
    </row>
    <row r="686" spans="1:6" x14ac:dyDescent="0.2">
      <c r="A686" s="915" t="s">
        <v>2197</v>
      </c>
      <c r="B686" s="916">
        <v>42384</v>
      </c>
      <c r="C686" s="910">
        <v>19141000</v>
      </c>
      <c r="D686" s="910">
        <v>0</v>
      </c>
      <c r="E686" s="910">
        <v>19141000</v>
      </c>
      <c r="F686" s="914">
        <v>0</v>
      </c>
    </row>
    <row r="687" spans="1:6" x14ac:dyDescent="0.2">
      <c r="A687" s="913" t="s">
        <v>2201</v>
      </c>
      <c r="B687" s="916"/>
      <c r="C687" s="910"/>
      <c r="D687" s="910"/>
      <c r="E687" s="910"/>
      <c r="F687" s="914"/>
    </row>
    <row r="688" spans="1:6" x14ac:dyDescent="0.2">
      <c r="A688" s="915" t="s">
        <v>142</v>
      </c>
      <c r="B688" s="916">
        <v>42305</v>
      </c>
      <c r="C688" s="910">
        <v>72727824</v>
      </c>
      <c r="D688" s="910">
        <v>0</v>
      </c>
      <c r="E688" s="910">
        <v>72727824</v>
      </c>
      <c r="F688" s="914">
        <v>0</v>
      </c>
    </row>
    <row r="689" spans="1:6" x14ac:dyDescent="0.2">
      <c r="A689" s="913" t="s">
        <v>2219</v>
      </c>
      <c r="B689" s="916"/>
      <c r="C689" s="910"/>
      <c r="D689" s="910"/>
      <c r="E689" s="910"/>
      <c r="F689" s="914"/>
    </row>
    <row r="690" spans="1:6" x14ac:dyDescent="0.2">
      <c r="A690" s="915" t="s">
        <v>2220</v>
      </c>
      <c r="B690" s="916">
        <v>42352</v>
      </c>
      <c r="C690" s="910">
        <v>6000000</v>
      </c>
      <c r="D690" s="910">
        <v>5999890</v>
      </c>
      <c r="E690" s="910">
        <v>110</v>
      </c>
      <c r="F690" s="914">
        <v>0.99998166666666666</v>
      </c>
    </row>
    <row r="691" spans="1:6" x14ac:dyDescent="0.2">
      <c r="A691" s="913" t="s">
        <v>2228</v>
      </c>
      <c r="B691" s="916"/>
      <c r="C691" s="910"/>
      <c r="D691" s="910"/>
      <c r="E691" s="910"/>
      <c r="F691" s="914"/>
    </row>
    <row r="692" spans="1:6" x14ac:dyDescent="0.2">
      <c r="A692" s="915" t="s">
        <v>2229</v>
      </c>
      <c r="B692" s="916">
        <v>42364</v>
      </c>
      <c r="C692" s="910">
        <v>6660000</v>
      </c>
      <c r="D692" s="910">
        <v>6600000</v>
      </c>
      <c r="E692" s="910">
        <v>60000</v>
      </c>
      <c r="F692" s="914">
        <v>0.99099099099099097</v>
      </c>
    </row>
    <row r="693" spans="1:6" x14ac:dyDescent="0.2">
      <c r="A693" s="913" t="s">
        <v>2240</v>
      </c>
      <c r="B693" s="916"/>
      <c r="C693" s="910"/>
      <c r="D693" s="910"/>
      <c r="E693" s="910"/>
      <c r="F693" s="914"/>
    </row>
    <row r="694" spans="1:6" x14ac:dyDescent="0.2">
      <c r="A694" s="915" t="s">
        <v>1346</v>
      </c>
      <c r="B694" s="916">
        <v>42534</v>
      </c>
      <c r="C694" s="910">
        <v>2742000</v>
      </c>
      <c r="D694" s="910">
        <v>1625160</v>
      </c>
      <c r="E694" s="910">
        <v>1116840</v>
      </c>
      <c r="F694" s="914">
        <v>0.59269146608315093</v>
      </c>
    </row>
    <row r="695" spans="1:6" x14ac:dyDescent="0.2">
      <c r="A695" s="913" t="s">
        <v>2247</v>
      </c>
      <c r="B695" s="916"/>
      <c r="C695" s="910"/>
      <c r="D695" s="910"/>
      <c r="E695" s="910"/>
      <c r="F695" s="914"/>
    </row>
    <row r="696" spans="1:6" x14ac:dyDescent="0.2">
      <c r="A696" s="915" t="s">
        <v>2248</v>
      </c>
      <c r="B696" s="916">
        <v>42515</v>
      </c>
      <c r="C696" s="910">
        <v>1512217703</v>
      </c>
      <c r="D696" s="910">
        <v>1512217703</v>
      </c>
      <c r="E696" s="910">
        <v>0</v>
      </c>
      <c r="F696" s="914">
        <v>1</v>
      </c>
    </row>
    <row r="697" spans="1:6" x14ac:dyDescent="0.2">
      <c r="A697" s="913" t="s">
        <v>2253</v>
      </c>
      <c r="B697" s="916"/>
      <c r="C697" s="910"/>
      <c r="D697" s="910"/>
      <c r="E697" s="910"/>
      <c r="F697" s="914"/>
    </row>
    <row r="698" spans="1:6" x14ac:dyDescent="0.2">
      <c r="A698" s="915" t="s">
        <v>2254</v>
      </c>
      <c r="B698" s="916">
        <v>42544</v>
      </c>
      <c r="C698" s="910">
        <v>37372300</v>
      </c>
      <c r="D698" s="910">
        <v>29382355</v>
      </c>
      <c r="E698" s="910">
        <v>7989945</v>
      </c>
      <c r="F698" s="914">
        <v>0.78620676276279489</v>
      </c>
    </row>
    <row r="699" spans="1:6" x14ac:dyDescent="0.2">
      <c r="A699" s="913" t="s">
        <v>2272</v>
      </c>
      <c r="B699" s="916"/>
      <c r="C699" s="910"/>
      <c r="D699" s="910"/>
      <c r="E699" s="910"/>
      <c r="F699" s="914"/>
    </row>
    <row r="700" spans="1:6" x14ac:dyDescent="0.2">
      <c r="A700" s="915" t="s">
        <v>2271</v>
      </c>
      <c r="B700" s="916">
        <v>42399</v>
      </c>
      <c r="C700" s="910">
        <v>17340258</v>
      </c>
      <c r="D700" s="910">
        <v>17340258</v>
      </c>
      <c r="E700" s="910">
        <v>0</v>
      </c>
      <c r="F700" s="914">
        <v>1</v>
      </c>
    </row>
    <row r="701" spans="1:6" x14ac:dyDescent="0.2">
      <c r="A701" s="913" t="s">
        <v>2350</v>
      </c>
      <c r="B701" s="916"/>
      <c r="C701" s="910"/>
      <c r="D701" s="910"/>
      <c r="E701" s="910"/>
      <c r="F701" s="914"/>
    </row>
    <row r="702" spans="1:6" x14ac:dyDescent="0.2">
      <c r="A702" s="915" t="s">
        <v>2352</v>
      </c>
      <c r="B702" s="916">
        <v>42501</v>
      </c>
      <c r="C702" s="910">
        <v>27500000</v>
      </c>
      <c r="D702" s="910">
        <v>25850000</v>
      </c>
      <c r="E702" s="910">
        <v>1650000</v>
      </c>
      <c r="F702" s="914">
        <v>0.94</v>
      </c>
    </row>
    <row r="703" spans="1:6" x14ac:dyDescent="0.2">
      <c r="A703" s="913" t="s">
        <v>2365</v>
      </c>
      <c r="B703" s="916"/>
      <c r="C703" s="910"/>
      <c r="D703" s="910"/>
      <c r="E703" s="910"/>
      <c r="F703" s="914"/>
    </row>
    <row r="704" spans="1:6" x14ac:dyDescent="0.2">
      <c r="A704" s="915" t="s">
        <v>2366</v>
      </c>
      <c r="B704" s="916">
        <v>42524</v>
      </c>
      <c r="C704" s="910">
        <v>910786703.20000005</v>
      </c>
      <c r="D704" s="910">
        <v>910786703</v>
      </c>
      <c r="E704" s="910">
        <v>0.20000004768371582</v>
      </c>
      <c r="F704" s="914">
        <v>0.99999999978040954</v>
      </c>
    </row>
    <row r="705" spans="1:6" x14ac:dyDescent="0.2">
      <c r="A705" s="913" t="s">
        <v>2359</v>
      </c>
      <c r="B705" s="916"/>
      <c r="C705" s="910"/>
      <c r="D705" s="910"/>
      <c r="E705" s="910"/>
      <c r="F705" s="914"/>
    </row>
    <row r="706" spans="1:6" x14ac:dyDescent="0.2">
      <c r="A706" s="915" t="s">
        <v>2361</v>
      </c>
      <c r="B706" s="916">
        <v>42443</v>
      </c>
      <c r="C706" s="910">
        <v>8404000</v>
      </c>
      <c r="D706" s="910">
        <v>8404200</v>
      </c>
      <c r="E706" s="910">
        <v>-200</v>
      </c>
      <c r="F706" s="914">
        <v>1.0000237981913374</v>
      </c>
    </row>
    <row r="707" spans="1:6" x14ac:dyDescent="0.2">
      <c r="A707" s="913" t="s">
        <v>2379</v>
      </c>
      <c r="B707" s="916"/>
      <c r="C707" s="910"/>
      <c r="D707" s="910"/>
      <c r="E707" s="910"/>
      <c r="F707" s="914"/>
    </row>
    <row r="708" spans="1:6" x14ac:dyDescent="0.2">
      <c r="A708" s="915" t="s">
        <v>2366</v>
      </c>
      <c r="B708" s="916">
        <v>42532</v>
      </c>
      <c r="C708" s="910">
        <v>295840339</v>
      </c>
      <c r="D708" s="910">
        <v>0</v>
      </c>
      <c r="E708" s="910">
        <v>295840339</v>
      </c>
      <c r="F708" s="914">
        <v>0</v>
      </c>
    </row>
    <row r="709" spans="1:6" x14ac:dyDescent="0.2">
      <c r="A709" s="913" t="s">
        <v>2377</v>
      </c>
      <c r="B709" s="916"/>
      <c r="C709" s="910"/>
      <c r="D709" s="910"/>
      <c r="E709" s="910"/>
      <c r="F709" s="914"/>
    </row>
    <row r="710" spans="1:6" x14ac:dyDescent="0.2">
      <c r="A710" s="915" t="s">
        <v>2366</v>
      </c>
      <c r="B710" s="916">
        <v>42532</v>
      </c>
      <c r="C710" s="910">
        <v>188315358.83000001</v>
      </c>
      <c r="D710" s="910">
        <v>188315359</v>
      </c>
      <c r="E710" s="910">
        <v>-0.16999998688697815</v>
      </c>
      <c r="F710" s="914">
        <v>1.000000000902741</v>
      </c>
    </row>
    <row r="711" spans="1:6" x14ac:dyDescent="0.2">
      <c r="A711" s="913" t="s">
        <v>2381</v>
      </c>
      <c r="B711" s="916"/>
      <c r="C711" s="910"/>
      <c r="D711" s="910"/>
      <c r="E711" s="910"/>
      <c r="F711" s="914"/>
    </row>
    <row r="712" spans="1:6" x14ac:dyDescent="0.2">
      <c r="A712" s="915" t="s">
        <v>2382</v>
      </c>
      <c r="B712" s="916">
        <v>42536</v>
      </c>
      <c r="C712" s="910">
        <v>64250000</v>
      </c>
      <c r="D712" s="910">
        <v>0</v>
      </c>
      <c r="E712" s="910">
        <v>64250000</v>
      </c>
      <c r="F712" s="914">
        <v>0</v>
      </c>
    </row>
    <row r="713" spans="1:6" x14ac:dyDescent="0.2">
      <c r="A713" s="913" t="s">
        <v>2508</v>
      </c>
      <c r="B713" s="916"/>
      <c r="C713" s="910"/>
      <c r="D713" s="910"/>
      <c r="E713" s="910"/>
      <c r="F713" s="914"/>
    </row>
    <row r="714" spans="1:6" x14ac:dyDescent="0.2">
      <c r="A714" s="915" t="s">
        <v>2129</v>
      </c>
      <c r="B714" s="916">
        <v>42592</v>
      </c>
      <c r="C714" s="910">
        <v>20880000</v>
      </c>
      <c r="D714" s="910">
        <v>20880000</v>
      </c>
      <c r="E714" s="910">
        <v>0</v>
      </c>
      <c r="F714" s="914">
        <v>1</v>
      </c>
    </row>
    <row r="715" spans="1:6" x14ac:dyDescent="0.2">
      <c r="A715" s="913" t="s">
        <v>2422</v>
      </c>
      <c r="B715" s="916"/>
      <c r="C715" s="910"/>
      <c r="D715" s="910"/>
      <c r="E715" s="910"/>
      <c r="F715" s="914"/>
    </row>
    <row r="716" spans="1:6" x14ac:dyDescent="0.2">
      <c r="A716" s="915" t="s">
        <v>2423</v>
      </c>
      <c r="B716" s="916">
        <v>42539</v>
      </c>
      <c r="C716" s="910">
        <v>601948308</v>
      </c>
      <c r="D716" s="910">
        <v>601948308</v>
      </c>
      <c r="E716" s="910">
        <v>0</v>
      </c>
      <c r="F716" s="914">
        <v>1</v>
      </c>
    </row>
    <row r="717" spans="1:6" x14ac:dyDescent="0.2">
      <c r="A717" s="913" t="s">
        <v>2471</v>
      </c>
      <c r="B717" s="916"/>
      <c r="C717" s="910"/>
      <c r="D717" s="910"/>
      <c r="E717" s="910"/>
      <c r="F717" s="914"/>
    </row>
    <row r="718" spans="1:6" x14ac:dyDescent="0.2">
      <c r="A718" s="915" t="s">
        <v>290</v>
      </c>
      <c r="B718" s="916">
        <v>42569</v>
      </c>
      <c r="C718" s="910">
        <v>6239000</v>
      </c>
      <c r="D718" s="910">
        <v>0</v>
      </c>
      <c r="E718" s="910">
        <v>6239000</v>
      </c>
      <c r="F718" s="914">
        <v>0</v>
      </c>
    </row>
    <row r="719" spans="1:6" x14ac:dyDescent="0.2">
      <c r="A719" s="913" t="s">
        <v>2517</v>
      </c>
      <c r="B719" s="916"/>
      <c r="C719" s="910"/>
      <c r="D719" s="910"/>
      <c r="E719" s="910"/>
      <c r="F719" s="914"/>
    </row>
    <row r="720" spans="1:6" x14ac:dyDescent="0.2">
      <c r="A720" s="915" t="s">
        <v>2518</v>
      </c>
      <c r="B720" s="916">
        <v>42579</v>
      </c>
      <c r="C720" s="910">
        <v>23000000</v>
      </c>
      <c r="D720" s="910">
        <v>0</v>
      </c>
      <c r="E720" s="910">
        <v>23000000</v>
      </c>
      <c r="F720" s="914">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2257</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572" activePane="bottomRight" state="frozen"/>
      <selection activeCell="B476" sqref="B476"/>
      <selection pane="topRight" activeCell="B476" sqref="B476"/>
      <selection pane="bottomLeft" activeCell="B476" sqref="B476"/>
      <selection pane="bottomRight" activeCell="M574" sqref="M574"/>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8"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7"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2549</v>
      </c>
      <c r="G1" s="25"/>
      <c r="H1" s="1020"/>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080" t="s">
        <v>387</v>
      </c>
      <c r="I2" s="1080"/>
      <c r="J2" s="1080"/>
      <c r="K2" s="1080"/>
      <c r="L2" s="1080"/>
      <c r="M2" s="1080"/>
      <c r="N2" s="1080"/>
      <c r="O2" s="1080"/>
      <c r="P2" s="1080"/>
      <c r="Q2" s="1080"/>
      <c r="R2" s="1080"/>
      <c r="S2" s="1080"/>
      <c r="T2" s="1080"/>
      <c r="U2" s="1080"/>
      <c r="V2" s="1080"/>
      <c r="W2" s="1080"/>
      <c r="X2" s="1081"/>
      <c r="Y2" s="1080"/>
      <c r="Z2" s="32"/>
      <c r="AA2" s="32"/>
      <c r="AB2" s="32"/>
      <c r="AC2" s="32"/>
      <c r="AD2" s="32"/>
      <c r="AE2" s="298"/>
      <c r="AF2" s="298"/>
      <c r="AG2" s="32"/>
      <c r="AH2" s="32"/>
      <c r="AI2" s="32"/>
      <c r="AJ2" s="32"/>
      <c r="AK2" s="274"/>
      <c r="AL2" s="82"/>
      <c r="AM2" s="1086" t="s">
        <v>1054</v>
      </c>
      <c r="AN2" s="1087"/>
      <c r="AO2" s="1087"/>
      <c r="AP2" s="1087"/>
      <c r="AQ2" s="1087"/>
      <c r="AR2" s="1088"/>
      <c r="AS2" s="303"/>
    </row>
    <row r="3" spans="1:52" ht="24" thickBot="1" x14ac:dyDescent="0.3">
      <c r="B3" s="25"/>
      <c r="C3" s="438"/>
      <c r="D3" s="438"/>
      <c r="E3" s="100" t="s">
        <v>1058</v>
      </c>
      <c r="F3" s="277">
        <f ca="1">TODAY()</f>
        <v>43383</v>
      </c>
      <c r="G3" s="25"/>
      <c r="H3" s="1082" t="s">
        <v>2984</v>
      </c>
      <c r="I3" s="1082"/>
      <c r="J3" s="1082"/>
      <c r="K3" s="1082"/>
      <c r="L3" s="1082"/>
      <c r="M3" s="1082"/>
      <c r="N3" s="1082"/>
      <c r="O3" s="1082"/>
      <c r="P3" s="1082"/>
      <c r="Q3" s="1082"/>
      <c r="R3" s="1082"/>
      <c r="S3" s="1082"/>
      <c r="T3" s="1082"/>
      <c r="U3" s="1082"/>
      <c r="V3" s="1082"/>
      <c r="W3" s="1082"/>
      <c r="X3" s="1083"/>
      <c r="Y3" s="1082"/>
      <c r="Z3" s="25"/>
      <c r="AA3" s="25"/>
      <c r="AB3" s="25"/>
      <c r="AC3" s="25"/>
      <c r="AD3" s="25"/>
      <c r="AE3" s="299"/>
      <c r="AF3" s="299"/>
      <c r="AG3" s="25"/>
      <c r="AH3" s="25"/>
      <c r="AI3" s="25"/>
      <c r="AJ3" s="25"/>
      <c r="AK3" s="275"/>
      <c r="AL3" s="83"/>
      <c r="AM3" s="1089"/>
      <c r="AN3" s="1090"/>
      <c r="AO3" s="1090"/>
      <c r="AP3" s="1090"/>
      <c r="AQ3" s="1090"/>
      <c r="AR3" s="1091"/>
      <c r="AS3" s="303"/>
    </row>
    <row r="4" spans="1:52" ht="15.75" thickBot="1" x14ac:dyDescent="0.3">
      <c r="B4" s="14"/>
      <c r="E4" s="99" t="s">
        <v>388</v>
      </c>
      <c r="F4" s="278">
        <f>+Inicio!S6</f>
        <v>43378</v>
      </c>
      <c r="G4" s="70"/>
      <c r="H4" s="1021"/>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92"/>
      <c r="AN4" s="1093"/>
      <c r="AO4" s="1093"/>
      <c r="AP4" s="1093"/>
      <c r="AQ4" s="1093"/>
      <c r="AR4" s="1094"/>
      <c r="AS4" s="303"/>
    </row>
    <row r="5" spans="1:52" ht="14.25" customHeight="1" thickTop="1" x14ac:dyDescent="0.25">
      <c r="B5" s="14"/>
      <c r="E5" s="944" t="s">
        <v>3523</v>
      </c>
      <c r="F5" s="948" t="s">
        <v>3522</v>
      </c>
      <c r="G5" s="945" t="s">
        <v>927</v>
      </c>
      <c r="H5" s="1022" t="s">
        <v>3524</v>
      </c>
      <c r="I5" s="946" t="s">
        <v>3529</v>
      </c>
      <c r="J5" s="125"/>
      <c r="K5" s="85"/>
      <c r="L5" s="14"/>
      <c r="M5" s="14"/>
      <c r="N5" s="14"/>
      <c r="O5" s="1084" t="s">
        <v>965</v>
      </c>
      <c r="P5" s="1084"/>
      <c r="Q5" s="1084"/>
      <c r="R5" s="1084"/>
      <c r="S5" s="1085"/>
      <c r="T5" s="75"/>
      <c r="U5" s="14"/>
      <c r="V5" s="1095" t="s">
        <v>1055</v>
      </c>
      <c r="W5" s="1095"/>
      <c r="X5" s="1096"/>
      <c r="Y5" s="1095"/>
      <c r="Z5" s="1095"/>
      <c r="AA5" s="1095"/>
      <c r="AB5" s="1095"/>
      <c r="AC5" s="1097"/>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2358</v>
      </c>
      <c r="E6" s="33" t="s">
        <v>0</v>
      </c>
      <c r="F6" s="33" t="s">
        <v>1</v>
      </c>
      <c r="G6" s="33" t="s">
        <v>394</v>
      </c>
      <c r="H6" s="102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2190</v>
      </c>
      <c r="AE6" s="35" t="s">
        <v>1481</v>
      </c>
      <c r="AF6" s="35" t="s">
        <v>1122</v>
      </c>
      <c r="AG6" s="35" t="s">
        <v>1123</v>
      </c>
      <c r="AH6" s="35" t="s">
        <v>1124</v>
      </c>
      <c r="AI6" s="35" t="s">
        <v>566</v>
      </c>
      <c r="AJ6" s="35" t="s">
        <v>595</v>
      </c>
      <c r="AK6" s="35" t="s">
        <v>567</v>
      </c>
      <c r="AL6" s="35" t="s">
        <v>569</v>
      </c>
      <c r="AM6" s="35" t="s">
        <v>991</v>
      </c>
      <c r="AN6" s="35" t="s">
        <v>927</v>
      </c>
      <c r="AO6" s="35" t="s">
        <v>3530</v>
      </c>
      <c r="AP6" s="35" t="s">
        <v>1951</v>
      </c>
      <c r="AQ6" s="35" t="s">
        <v>984</v>
      </c>
      <c r="AR6" s="35" t="s">
        <v>3801</v>
      </c>
      <c r="AS6" s="35" t="s">
        <v>3802</v>
      </c>
      <c r="AT6" s="35" t="s">
        <v>3743</v>
      </c>
      <c r="AZ6" s="1"/>
    </row>
    <row r="7" spans="1:52" ht="47.25" customHeight="1" x14ac:dyDescent="0.25">
      <c r="A7" s="15">
        <v>1</v>
      </c>
      <c r="B7" s="15">
        <v>1</v>
      </c>
      <c r="C7" s="439"/>
      <c r="D7" s="439" t="str">
        <f t="shared" ref="D7:D70" si="0">K7&amp;C7</f>
        <v>2008</v>
      </c>
      <c r="E7" s="132" t="s">
        <v>92</v>
      </c>
      <c r="F7" s="132" t="s">
        <v>425</v>
      </c>
      <c r="G7" s="133"/>
      <c r="H7" s="1024" t="s">
        <v>438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2" t="str">
        <f>IFERROR(VLOOKUP(E7,'liquidaciones '!$B$2:$C$1048576,2,0),"NO")</f>
        <v>NO</v>
      </c>
      <c r="AO7" s="972" t="str">
        <f>IFERROR(VLOOKUP(E7,'liquidaciones '!$B$2:$I$1048576,8,0)=0,"")</f>
        <v/>
      </c>
      <c r="AP7" s="335"/>
      <c r="AQ7" s="177" t="str">
        <f t="shared" ref="AQ7:AQ13" ca="1" si="10">IF((TODAY()-T7&lt;900),"SI","NO")</f>
        <v>NO</v>
      </c>
      <c r="AR7" s="177" t="s">
        <v>2079</v>
      </c>
      <c r="AS7" s="435"/>
      <c r="AT7" s="992"/>
      <c r="AX7" s="16"/>
      <c r="AY7" s="16"/>
      <c r="AZ7" s="1" t="s">
        <v>390</v>
      </c>
    </row>
    <row r="8" spans="1:52" ht="47.25" customHeight="1" x14ac:dyDescent="0.25">
      <c r="A8" s="41">
        <v>2</v>
      </c>
      <c r="B8" s="15">
        <v>2</v>
      </c>
      <c r="C8" s="439"/>
      <c r="D8" s="439" t="str">
        <f t="shared" si="0"/>
        <v>2008</v>
      </c>
      <c r="E8" s="132" t="s">
        <v>151</v>
      </c>
      <c r="F8" s="132" t="s">
        <v>152</v>
      </c>
      <c r="G8" s="137">
        <v>800015583</v>
      </c>
      <c r="H8" s="1024"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2" t="str">
        <f>IFERROR(VLOOKUP(E8,'liquidaciones '!$B$2:$C$1048576,2,0),"NO")</f>
        <v>LIQUIDADO</v>
      </c>
      <c r="AO8" s="972">
        <f>IFERROR(VLOOKUP(E8,'liquidaciones '!$B$2:$I$1048576,8,0),"")</f>
        <v>0</v>
      </c>
      <c r="AP8" s="336">
        <v>42149</v>
      </c>
      <c r="AQ8" s="177" t="str">
        <f t="shared" ca="1" si="10"/>
        <v>NO</v>
      </c>
      <c r="AR8" s="177" t="s">
        <v>1574</v>
      </c>
      <c r="AS8" s="435"/>
      <c r="AT8" s="992"/>
      <c r="AX8" s="16"/>
      <c r="AY8" s="16"/>
      <c r="AZ8" s="1" t="s">
        <v>391</v>
      </c>
    </row>
    <row r="9" spans="1:52" ht="47.25" customHeight="1" x14ac:dyDescent="0.25">
      <c r="A9" s="15">
        <v>2</v>
      </c>
      <c r="B9" s="15">
        <v>3</v>
      </c>
      <c r="C9" s="439"/>
      <c r="D9" s="439" t="str">
        <f t="shared" si="0"/>
        <v>2008</v>
      </c>
      <c r="E9" s="132" t="s">
        <v>149</v>
      </c>
      <c r="F9" s="132" t="s">
        <v>150</v>
      </c>
      <c r="G9" s="133"/>
      <c r="H9" s="1024"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2" t="str">
        <f>IFERROR(VLOOKUP(E9,'liquidaciones '!$B$2:$C$1048576,2,0),"NO")</f>
        <v>NO</v>
      </c>
      <c r="AO9" s="972" t="str">
        <f>IFERROR(VLOOKUP(E9,'liquidaciones '!$B$2:$I$1048576,8,0),"")</f>
        <v/>
      </c>
      <c r="AP9" s="335"/>
      <c r="AQ9" s="177" t="str">
        <f t="shared" ca="1" si="10"/>
        <v>NO</v>
      </c>
      <c r="AR9" s="177" t="s">
        <v>1574</v>
      </c>
      <c r="AS9" s="435"/>
      <c r="AT9" s="992"/>
      <c r="AX9" s="16"/>
      <c r="AY9" s="16"/>
      <c r="AZ9" s="1" t="s">
        <v>590</v>
      </c>
    </row>
    <row r="10" spans="1:52" ht="47.25" customHeight="1" x14ac:dyDescent="0.25">
      <c r="A10" s="15">
        <v>2</v>
      </c>
      <c r="B10" s="15">
        <v>4</v>
      </c>
      <c r="C10" s="439"/>
      <c r="D10" s="439" t="str">
        <f t="shared" si="0"/>
        <v>2009</v>
      </c>
      <c r="E10" s="139" t="s">
        <v>180</v>
      </c>
      <c r="F10" s="132" t="s">
        <v>181</v>
      </c>
      <c r="G10" s="133"/>
      <c r="H10" s="1024"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2" t="str">
        <f>IFERROR(VLOOKUP(E10,'liquidaciones '!$B$2:$C$1048576,2,0),"NO")</f>
        <v>NO</v>
      </c>
      <c r="AO10" s="972" t="str">
        <f>IFERROR(VLOOKUP(E10,'liquidaciones '!$B$2:$I$1048576,8,0),"")</f>
        <v/>
      </c>
      <c r="AP10" s="335"/>
      <c r="AQ10" s="177" t="str">
        <f t="shared" ca="1" si="10"/>
        <v>NO</v>
      </c>
      <c r="AR10" s="177" t="s">
        <v>1574</v>
      </c>
      <c r="AS10" s="435"/>
      <c r="AT10" s="992"/>
      <c r="AX10" s="16"/>
      <c r="AY10" s="16"/>
    </row>
    <row r="11" spans="1:52" ht="47.25" customHeight="1" x14ac:dyDescent="0.25">
      <c r="A11" s="15">
        <v>2</v>
      </c>
      <c r="B11" s="15">
        <v>5</v>
      </c>
      <c r="C11" s="439"/>
      <c r="D11" s="439" t="str">
        <f t="shared" si="0"/>
        <v>2009</v>
      </c>
      <c r="E11" s="139" t="s">
        <v>182</v>
      </c>
      <c r="F11" s="132" t="s">
        <v>152</v>
      </c>
      <c r="G11" s="133">
        <v>800015583</v>
      </c>
      <c r="H11" s="1024"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2" t="str">
        <f>IFERROR(VLOOKUP(E11,'liquidaciones '!$B$2:$C$1048576,2,0),"NO")</f>
        <v>NO</v>
      </c>
      <c r="AO11" s="972" t="str">
        <f>IFERROR(VLOOKUP(E11,'liquidaciones '!$B$2:$I$1048576,8,0),"")</f>
        <v/>
      </c>
      <c r="AP11" s="335"/>
      <c r="AQ11" s="177" t="str">
        <f t="shared" ca="1" si="10"/>
        <v>NO</v>
      </c>
      <c r="AR11" s="177" t="s">
        <v>1574</v>
      </c>
      <c r="AS11" s="435"/>
      <c r="AT11" s="992"/>
      <c r="AX11" s="16"/>
      <c r="AY11" s="16"/>
    </row>
    <row r="12" spans="1:52" ht="47.25" customHeight="1" x14ac:dyDescent="0.25">
      <c r="A12" s="15">
        <v>2</v>
      </c>
      <c r="B12" s="15">
        <v>6</v>
      </c>
      <c r="C12" s="439"/>
      <c r="D12" s="439" t="str">
        <f t="shared" si="0"/>
        <v>2011</v>
      </c>
      <c r="E12" s="142" t="s">
        <v>589</v>
      </c>
      <c r="F12" s="132" t="s">
        <v>426</v>
      </c>
      <c r="G12" s="143">
        <v>900231022</v>
      </c>
      <c r="H12" s="1024" t="s">
        <v>442</v>
      </c>
      <c r="I12" s="134">
        <v>12835200</v>
      </c>
      <c r="J12" s="876" t="s">
        <v>4096</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2" t="str">
        <f>IFERROR(VLOOKUP(E12,'liquidaciones '!$B$2:$C$1048576,2,0),"NO")</f>
        <v>LIQUIDADO</v>
      </c>
      <c r="AO12" s="972">
        <f>IFERROR(VLOOKUP(E12,'liquidaciones '!$B$2:$I$1048576,8,0),"")</f>
        <v>0</v>
      </c>
      <c r="AP12" s="337"/>
      <c r="AQ12" s="177" t="str">
        <f t="shared" ca="1" si="10"/>
        <v>NO</v>
      </c>
      <c r="AR12" s="177" t="s">
        <v>1574</v>
      </c>
      <c r="AS12" s="435"/>
      <c r="AT12" s="992"/>
      <c r="AX12" s="16"/>
      <c r="AY12" s="16"/>
    </row>
    <row r="13" spans="1:52" ht="47.25" customHeight="1" x14ac:dyDescent="0.25">
      <c r="A13" s="15">
        <v>1</v>
      </c>
      <c r="B13" s="15">
        <v>7</v>
      </c>
      <c r="C13" s="439"/>
      <c r="D13" s="439" t="str">
        <f t="shared" si="0"/>
        <v>2011</v>
      </c>
      <c r="E13" s="144" t="s">
        <v>101</v>
      </c>
      <c r="F13" s="145" t="s">
        <v>427</v>
      </c>
      <c r="G13" s="133">
        <v>800109177</v>
      </c>
      <c r="H13" s="1025"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2" t="str">
        <f>IFERROR(VLOOKUP(E13,'liquidaciones '!$B$2:$C$1048576,2,0),"NO")</f>
        <v>NO</v>
      </c>
      <c r="AO13" s="972" t="str">
        <f>IFERROR(VLOOKUP(E13,'liquidaciones '!$B$2:$I$1048576,8,0),"")</f>
        <v/>
      </c>
      <c r="AP13" s="335"/>
      <c r="AQ13" s="177" t="str">
        <f t="shared" ca="1" si="10"/>
        <v>NO</v>
      </c>
      <c r="AR13" s="177" t="s">
        <v>1574</v>
      </c>
      <c r="AS13" s="435"/>
      <c r="AT13" s="992"/>
      <c r="AX13" s="16"/>
      <c r="AY13" s="16"/>
    </row>
    <row r="14" spans="1:52" ht="47.25" customHeight="1" x14ac:dyDescent="0.25">
      <c r="B14" s="15">
        <v>8</v>
      </c>
      <c r="C14" s="439"/>
      <c r="D14" s="439" t="str">
        <f t="shared" si="0"/>
        <v>2011</v>
      </c>
      <c r="E14" s="139" t="s">
        <v>170</v>
      </c>
      <c r="F14" s="132" t="s">
        <v>428</v>
      </c>
      <c r="G14" s="143">
        <v>830050919</v>
      </c>
      <c r="H14" s="1024"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2" t="str">
        <f>IFERROR(VLOOKUP(E14,'liquidaciones '!$B$2:$C$1048576,2,0),"NO")</f>
        <v>NO</v>
      </c>
      <c r="AO14" s="972" t="str">
        <f>IFERROR(VLOOKUP(E14,'liquidaciones '!$B$2:$I$1048576,8,0),"")</f>
        <v/>
      </c>
      <c r="AP14" s="337"/>
      <c r="AQ14" s="177" t="str">
        <f ca="1">IF((TODAY()-T14&lt;910),"SI","NO")</f>
        <v>NO</v>
      </c>
      <c r="AR14" s="177" t="s">
        <v>982</v>
      </c>
      <c r="AS14" s="435"/>
      <c r="AT14" s="992"/>
      <c r="AX14" s="16"/>
      <c r="AY14" s="16"/>
    </row>
    <row r="15" spans="1:52" ht="47.25" customHeight="1" x14ac:dyDescent="0.25">
      <c r="A15" s="15"/>
      <c r="B15" s="15">
        <v>9</v>
      </c>
      <c r="C15" s="439"/>
      <c r="D15" s="439" t="str">
        <f t="shared" si="0"/>
        <v>2011</v>
      </c>
      <c r="E15" s="139" t="s">
        <v>594</v>
      </c>
      <c r="F15" s="132" t="s">
        <v>1006</v>
      </c>
      <c r="G15" s="143">
        <v>830040274</v>
      </c>
      <c r="H15" s="1024"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2" t="str">
        <f>IFERROR(VLOOKUP(E15,'liquidaciones '!$B$2:$C$1048576,2,0),"NO")</f>
        <v>NO</v>
      </c>
      <c r="AO15" s="972" t="str">
        <f>IFERROR(VLOOKUP(E15,'liquidaciones '!$B$2:$I$1048576,8,0),"")</f>
        <v/>
      </c>
      <c r="AP15" s="337">
        <v>42201</v>
      </c>
      <c r="AQ15" s="177" t="str">
        <f t="shared" ref="AQ15:AQ78" ca="1" si="11">IF((TODAY()-T15&lt;900),"SI","NO")</f>
        <v>NO</v>
      </c>
      <c r="AR15" s="177" t="s">
        <v>983</v>
      </c>
      <c r="AS15" s="435"/>
      <c r="AT15" s="992"/>
      <c r="AX15" s="16"/>
      <c r="AY15" s="16"/>
    </row>
    <row r="16" spans="1:52" ht="47.25" customHeight="1" x14ac:dyDescent="0.25">
      <c r="A16" s="15">
        <v>1</v>
      </c>
      <c r="B16" s="15">
        <v>10</v>
      </c>
      <c r="C16" s="439"/>
      <c r="D16" s="439" t="str">
        <f t="shared" si="0"/>
        <v>2011</v>
      </c>
      <c r="E16" s="145" t="s">
        <v>127</v>
      </c>
      <c r="F16" s="145" t="s">
        <v>128</v>
      </c>
      <c r="G16" s="143">
        <v>900340597</v>
      </c>
      <c r="H16" s="1025"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2" t="str">
        <f>IFERROR(VLOOKUP(E16,'liquidaciones '!$B$2:$C$1048576,2,0),"NO")</f>
        <v>LIQUIDADO</v>
      </c>
      <c r="AO16" s="972">
        <f>IFERROR(VLOOKUP(E16,'liquidaciones '!$B$2:$I$1048576,8,0),"")</f>
        <v>0</v>
      </c>
      <c r="AP16" s="337">
        <v>42094</v>
      </c>
      <c r="AQ16" s="177" t="str">
        <f t="shared" ca="1" si="11"/>
        <v>NO</v>
      </c>
      <c r="AR16" s="177" t="s">
        <v>983</v>
      </c>
      <c r="AS16" s="435"/>
      <c r="AT16" s="992"/>
      <c r="AX16" s="16"/>
      <c r="AY16" s="16"/>
    </row>
    <row r="17" spans="1:51" ht="47.25" customHeight="1" x14ac:dyDescent="0.25">
      <c r="A17" s="15">
        <v>2</v>
      </c>
      <c r="B17" s="15">
        <v>11</v>
      </c>
      <c r="C17" s="439"/>
      <c r="D17" s="439" t="str">
        <f t="shared" si="0"/>
        <v>2011</v>
      </c>
      <c r="E17" s="142" t="s">
        <v>120</v>
      </c>
      <c r="F17" s="132" t="s">
        <v>429</v>
      </c>
      <c r="G17" s="133">
        <v>860403052</v>
      </c>
      <c r="H17" s="1024"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2" t="str">
        <f>IFERROR(VLOOKUP(E17,'liquidaciones '!$B$2:$C$1048576,2,0),"NO")</f>
        <v>LIQUIDADO</v>
      </c>
      <c r="AO17" s="972" t="str">
        <f>IFERROR(VLOOKUP(E17,'liquidaciones '!$B$2:$I$1048576,8,0),"")</f>
        <v>GIOVANNI SUAREZ</v>
      </c>
      <c r="AP17" s="337"/>
      <c r="AQ17" s="177" t="str">
        <f t="shared" ca="1" si="11"/>
        <v>NO</v>
      </c>
      <c r="AR17" s="177" t="s">
        <v>983</v>
      </c>
      <c r="AS17" s="435"/>
      <c r="AT17" s="992"/>
      <c r="AX17" s="16"/>
      <c r="AY17" s="16"/>
    </row>
    <row r="18" spans="1:51" ht="47.25" customHeight="1" x14ac:dyDescent="0.25">
      <c r="A18" s="15">
        <v>1</v>
      </c>
      <c r="B18" s="15">
        <v>12</v>
      </c>
      <c r="C18" s="439"/>
      <c r="D18" s="439" t="str">
        <f t="shared" si="0"/>
        <v>2011</v>
      </c>
      <c r="E18" s="144" t="s">
        <v>112</v>
      </c>
      <c r="F18" s="145" t="s">
        <v>430</v>
      </c>
      <c r="G18" s="151">
        <v>800045609</v>
      </c>
      <c r="H18" s="1025" t="s">
        <v>446</v>
      </c>
      <c r="I18" s="146">
        <v>8506800</v>
      </c>
      <c r="J18" s="876" t="s">
        <v>4097</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2" t="str">
        <f>IFERROR(VLOOKUP(E18,'liquidaciones '!$B$2:$C$1048576,2,0),"NO")</f>
        <v>LIQUIDADO</v>
      </c>
      <c r="AO18" s="972">
        <f>IFERROR(VLOOKUP(E18,'liquidaciones '!$B$2:$I$1048576,8,0),"")</f>
        <v>0</v>
      </c>
      <c r="AP18" s="337"/>
      <c r="AQ18" s="177" t="str">
        <f t="shared" ca="1" si="11"/>
        <v>NO</v>
      </c>
      <c r="AR18" s="177" t="s">
        <v>1574</v>
      </c>
      <c r="AS18" s="435"/>
      <c r="AT18" s="992"/>
      <c r="AX18" s="16"/>
      <c r="AY18" s="16"/>
    </row>
    <row r="19" spans="1:51" ht="47.25" customHeight="1" x14ac:dyDescent="0.25">
      <c r="A19" s="15">
        <v>2</v>
      </c>
      <c r="B19" s="15">
        <v>13</v>
      </c>
      <c r="C19" s="439"/>
      <c r="D19" s="439" t="str">
        <f t="shared" si="0"/>
        <v>2011</v>
      </c>
      <c r="E19" s="142" t="s">
        <v>161</v>
      </c>
      <c r="F19" s="132" t="s">
        <v>162</v>
      </c>
      <c r="G19" s="143">
        <v>830073623</v>
      </c>
      <c r="H19" s="1024"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2" t="str">
        <f>IFERROR(VLOOKUP(E19,'liquidaciones '!$B$2:$C$1048576,2,0),"NO")</f>
        <v>NO</v>
      </c>
      <c r="AO19" s="972" t="str">
        <f>IFERROR(VLOOKUP(E19,'liquidaciones '!$B$2:$I$1048576,8,0),"")</f>
        <v/>
      </c>
      <c r="AP19" s="335"/>
      <c r="AQ19" s="177" t="str">
        <f t="shared" ca="1" si="11"/>
        <v>NO</v>
      </c>
      <c r="AR19" s="177" t="s">
        <v>1574</v>
      </c>
      <c r="AS19" s="435"/>
      <c r="AT19" s="992"/>
      <c r="AX19" s="16"/>
      <c r="AY19" s="16"/>
    </row>
    <row r="20" spans="1:51" ht="47.25" customHeight="1" x14ac:dyDescent="0.25">
      <c r="A20" s="15">
        <v>1</v>
      </c>
      <c r="B20" s="15">
        <v>14</v>
      </c>
      <c r="C20" s="439"/>
      <c r="D20" s="439" t="str">
        <f t="shared" si="0"/>
        <v>2011</v>
      </c>
      <c r="E20" s="145" t="s">
        <v>5</v>
      </c>
      <c r="F20" s="145" t="s">
        <v>431</v>
      </c>
      <c r="G20" s="133">
        <v>860053274</v>
      </c>
      <c r="H20" s="1025"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2" t="str">
        <f>IFERROR(VLOOKUP(E20,'liquidaciones '!$B$2:$C$1048576,2,0),"NO")</f>
        <v>NO</v>
      </c>
      <c r="AO20" s="972" t="str">
        <f>IFERROR(VLOOKUP(E20,'liquidaciones '!$B$2:$I$1048576,8,0),"")</f>
        <v/>
      </c>
      <c r="AP20" s="337"/>
      <c r="AQ20" s="177" t="str">
        <f t="shared" ca="1" si="11"/>
        <v>NO</v>
      </c>
      <c r="AR20" s="177" t="s">
        <v>1574</v>
      </c>
      <c r="AS20" s="435"/>
      <c r="AT20" s="992"/>
      <c r="AX20" s="16"/>
      <c r="AY20" s="16"/>
    </row>
    <row r="21" spans="1:51" ht="47.25" customHeight="1" x14ac:dyDescent="0.25">
      <c r="A21" s="15">
        <v>2</v>
      </c>
      <c r="B21" s="15">
        <v>15</v>
      </c>
      <c r="C21" s="439"/>
      <c r="D21" s="439" t="str">
        <f t="shared" si="0"/>
        <v>2011</v>
      </c>
      <c r="E21" s="142" t="s">
        <v>163</v>
      </c>
      <c r="F21" s="132" t="s">
        <v>432</v>
      </c>
      <c r="G21" s="143">
        <v>860518574</v>
      </c>
      <c r="H21" s="1024" t="s">
        <v>447</v>
      </c>
      <c r="I21" s="134">
        <v>49376272</v>
      </c>
      <c r="J21" s="134" t="s">
        <v>1088</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2" t="str">
        <f>IFERROR(VLOOKUP(E21,'liquidaciones '!$B$2:$C$1048576,2,0),"NO")</f>
        <v>LIQUIDADO</v>
      </c>
      <c r="AO21" s="972" t="str">
        <f>IFERROR(VLOOKUP(E21,'liquidaciones '!$B$2:$I$1048576,8,0),"")</f>
        <v>GIOVANNI SUAREZ</v>
      </c>
      <c r="AP21" s="337"/>
      <c r="AQ21" s="177" t="str">
        <f t="shared" ca="1" si="11"/>
        <v>NO</v>
      </c>
      <c r="AR21" s="177" t="s">
        <v>1574</v>
      </c>
      <c r="AS21" s="435"/>
      <c r="AT21" s="992"/>
      <c r="AX21" s="16"/>
      <c r="AY21" s="16"/>
    </row>
    <row r="22" spans="1:51" ht="47.25" customHeight="1" x14ac:dyDescent="0.25">
      <c r="A22" s="15">
        <v>2</v>
      </c>
      <c r="B22" s="15">
        <v>16</v>
      </c>
      <c r="C22" s="439"/>
      <c r="D22" s="439" t="str">
        <f t="shared" si="0"/>
        <v>2012</v>
      </c>
      <c r="E22" s="132" t="s">
        <v>21</v>
      </c>
      <c r="F22" s="132" t="s">
        <v>22</v>
      </c>
      <c r="G22" s="133">
        <v>830112518</v>
      </c>
      <c r="H22" s="1024" t="s">
        <v>321</v>
      </c>
      <c r="I22" s="134">
        <v>79634000</v>
      </c>
      <c r="J22" s="876" t="s">
        <v>4021</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2" t="str">
        <f>IFERROR(VLOOKUP(E22,'liquidaciones '!$B$2:$C$1048576,2,0),"NO")</f>
        <v>LIQUIDADO</v>
      </c>
      <c r="AO22" s="972">
        <f>IFERROR(VLOOKUP(E22,'liquidaciones '!$B$2:$I$1048576,8,0),"")</f>
        <v>0</v>
      </c>
      <c r="AP22" s="337">
        <v>41977</v>
      </c>
      <c r="AQ22" s="177" t="str">
        <f t="shared" ca="1" si="11"/>
        <v>NO</v>
      </c>
      <c r="AR22" s="177" t="s">
        <v>983</v>
      </c>
      <c r="AS22" s="435"/>
      <c r="AT22" s="992"/>
      <c r="AX22" s="16"/>
      <c r="AY22" s="16"/>
    </row>
    <row r="23" spans="1:51" ht="47.25" customHeight="1" x14ac:dyDescent="0.25">
      <c r="A23" s="15">
        <v>3</v>
      </c>
      <c r="B23" s="15">
        <v>17</v>
      </c>
      <c r="C23" s="439"/>
      <c r="D23" s="439" t="str">
        <f t="shared" si="0"/>
        <v>2012</v>
      </c>
      <c r="E23" s="142" t="s">
        <v>103</v>
      </c>
      <c r="F23" s="132" t="s">
        <v>1636</v>
      </c>
      <c r="G23" s="133">
        <v>20546554</v>
      </c>
      <c r="H23" s="1024" t="s">
        <v>448</v>
      </c>
      <c r="I23" s="134">
        <v>4206160</v>
      </c>
      <c r="J23" s="876" t="s">
        <v>4051</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2" t="str">
        <f>IFERROR(VLOOKUP(E23,'liquidaciones '!$B$2:$C$1048576,2,0),"NO")</f>
        <v>NO</v>
      </c>
      <c r="AO23" s="972" t="str">
        <f>IFERROR(VLOOKUP(E23,'liquidaciones '!$B$2:$I$1048576,8,0),"")</f>
        <v/>
      </c>
      <c r="AP23" s="424">
        <v>41270</v>
      </c>
      <c r="AQ23" s="177" t="str">
        <f t="shared" ca="1" si="11"/>
        <v>NO</v>
      </c>
      <c r="AR23" s="177" t="s">
        <v>2605</v>
      </c>
      <c r="AS23" s="435"/>
      <c r="AT23" s="992"/>
      <c r="AX23" s="16"/>
      <c r="AY23" s="16"/>
    </row>
    <row r="24" spans="1:51" ht="47.25" customHeight="1" x14ac:dyDescent="0.25">
      <c r="A24" s="15">
        <v>2</v>
      </c>
      <c r="B24" s="15">
        <v>18</v>
      </c>
      <c r="C24" s="439"/>
      <c r="D24" s="439" t="str">
        <f t="shared" si="0"/>
        <v>2012</v>
      </c>
      <c r="E24" s="139" t="s">
        <v>179</v>
      </c>
      <c r="F24" s="132" t="s">
        <v>433</v>
      </c>
      <c r="G24" s="133">
        <v>899999115</v>
      </c>
      <c r="H24" s="1024"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2" t="str">
        <f>IFERROR(VLOOKUP(E24,'liquidaciones '!$B$2:$C$1048576,2,0),"NO")</f>
        <v>NO</v>
      </c>
      <c r="AO24" s="972" t="str">
        <f>IFERROR(VLOOKUP(E24,'liquidaciones '!$B$2:$I$1048576,8,0),"")</f>
        <v/>
      </c>
      <c r="AP24" s="337"/>
      <c r="AQ24" s="177" t="str">
        <f t="shared" ca="1" si="11"/>
        <v>NO</v>
      </c>
      <c r="AR24" s="177" t="s">
        <v>1574</v>
      </c>
      <c r="AS24" s="435"/>
      <c r="AT24" s="992"/>
      <c r="AX24" s="16"/>
      <c r="AY24" s="16"/>
    </row>
    <row r="25" spans="1:51" ht="47.25" customHeight="1" x14ac:dyDescent="0.25">
      <c r="A25" s="15">
        <v>1</v>
      </c>
      <c r="B25" s="15">
        <v>19</v>
      </c>
      <c r="C25" s="439"/>
      <c r="D25" s="439" t="str">
        <f t="shared" si="0"/>
        <v>2012</v>
      </c>
      <c r="E25" s="132" t="s">
        <v>56</v>
      </c>
      <c r="F25" s="132" t="s">
        <v>57</v>
      </c>
      <c r="G25" s="133">
        <v>860026518</v>
      </c>
      <c r="H25" s="1024"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2" t="str">
        <f>IFERROR(VLOOKUP(E25,'liquidaciones '!$B$2:$C$1048576,2,0),"NO")</f>
        <v>NO</v>
      </c>
      <c r="AO25" s="972" t="str">
        <f>IFERROR(VLOOKUP(E25,'liquidaciones '!$B$2:$I$1048576,8,0),"")</f>
        <v/>
      </c>
      <c r="AP25" s="337"/>
      <c r="AQ25" s="177" t="str">
        <f t="shared" ca="1" si="11"/>
        <v>NO</v>
      </c>
      <c r="AR25" s="177" t="s">
        <v>1574</v>
      </c>
      <c r="AS25" s="435"/>
      <c r="AT25" s="992"/>
      <c r="AX25" s="16"/>
      <c r="AY25" s="16"/>
    </row>
    <row r="26" spans="1:51" ht="47.25" customHeight="1" x14ac:dyDescent="0.25">
      <c r="A26" s="15">
        <v>1</v>
      </c>
      <c r="B26" s="15">
        <v>20</v>
      </c>
      <c r="C26" s="439"/>
      <c r="D26" s="439" t="str">
        <f t="shared" si="0"/>
        <v>2012</v>
      </c>
      <c r="E26" s="145" t="s">
        <v>19</v>
      </c>
      <c r="F26" s="145" t="s">
        <v>20</v>
      </c>
      <c r="G26" s="133">
        <v>860025639</v>
      </c>
      <c r="H26" s="1025"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2" t="str">
        <f>IFERROR(VLOOKUP(E26,'liquidaciones '!$B$2:$C$1048576,2,0),"NO")</f>
        <v>NO</v>
      </c>
      <c r="AO26" s="972" t="str">
        <f>IFERROR(VLOOKUP(E26,'liquidaciones '!$B$2:$I$1048576,8,0),"")</f>
        <v/>
      </c>
      <c r="AP26" s="337"/>
      <c r="AQ26" s="177" t="str">
        <f t="shared" ca="1" si="11"/>
        <v>NO</v>
      </c>
      <c r="AR26" s="177" t="s">
        <v>1574</v>
      </c>
      <c r="AS26" s="435"/>
      <c r="AT26" s="992"/>
      <c r="AX26" s="16"/>
      <c r="AY26" s="16"/>
    </row>
    <row r="27" spans="1:51" ht="47.25" customHeight="1" x14ac:dyDescent="0.25">
      <c r="A27" s="15">
        <v>1</v>
      </c>
      <c r="B27" s="15">
        <v>21</v>
      </c>
      <c r="C27" s="439"/>
      <c r="D27" s="439" t="str">
        <f t="shared" si="0"/>
        <v>2012</v>
      </c>
      <c r="E27" s="132" t="s">
        <v>399</v>
      </c>
      <c r="F27" s="132" t="s">
        <v>424</v>
      </c>
      <c r="G27" s="145">
        <v>900281089</v>
      </c>
      <c r="H27" s="1024" t="s">
        <v>322</v>
      </c>
      <c r="I27" s="134">
        <v>4452000</v>
      </c>
      <c r="J27" s="876" t="s">
        <v>4358</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2" t="str">
        <f>IFERROR(VLOOKUP(E27,'liquidaciones '!$B$2:$C$1048576,2,0),"NO")</f>
        <v>LIQUIDADO</v>
      </c>
      <c r="AO27" s="972" t="str">
        <f>IFERROR(VLOOKUP(E27,'liquidaciones '!$B$2:$I$1048576,8,0),"")</f>
        <v>LEIDY RIVERA</v>
      </c>
      <c r="AP27" s="337"/>
      <c r="AQ27" s="177" t="str">
        <f t="shared" ca="1" si="11"/>
        <v>NO</v>
      </c>
      <c r="AR27" s="177" t="s">
        <v>1574</v>
      </c>
      <c r="AS27" s="435"/>
      <c r="AT27" s="992"/>
      <c r="AX27" s="16"/>
      <c r="AY27" s="16"/>
    </row>
    <row r="28" spans="1:51" ht="47.25" customHeight="1" x14ac:dyDescent="0.25">
      <c r="A28" s="15">
        <v>1</v>
      </c>
      <c r="B28" s="15">
        <v>22</v>
      </c>
      <c r="C28" s="439"/>
      <c r="D28" s="439" t="str">
        <f t="shared" si="0"/>
        <v>2012</v>
      </c>
      <c r="E28" s="132" t="s">
        <v>23</v>
      </c>
      <c r="F28" s="132" t="s">
        <v>27</v>
      </c>
      <c r="G28" s="133">
        <v>860009759</v>
      </c>
      <c r="H28" s="1024"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2" t="str">
        <f>IFERROR(VLOOKUP(E28,'liquidaciones '!$B$2:$C$1048576,2,0),"NO")</f>
        <v>LIQUIDADO</v>
      </c>
      <c r="AO28" s="972">
        <f>IFERROR(VLOOKUP(E28,'liquidaciones '!$B$2:$I$1048576,8,0),"")</f>
        <v>0</v>
      </c>
      <c r="AP28" s="335">
        <v>41652</v>
      </c>
      <c r="AQ28" s="177" t="str">
        <f t="shared" ca="1" si="11"/>
        <v>NO</v>
      </c>
      <c r="AR28" s="177" t="s">
        <v>1511</v>
      </c>
      <c r="AS28" s="435"/>
      <c r="AT28" s="992"/>
      <c r="AX28" s="16"/>
      <c r="AY28" s="16"/>
    </row>
    <row r="29" spans="1:51" ht="47.25" customHeight="1" x14ac:dyDescent="0.25">
      <c r="A29" s="15">
        <v>1</v>
      </c>
      <c r="B29" s="15">
        <v>23</v>
      </c>
      <c r="C29" s="439"/>
      <c r="D29" s="439" t="str">
        <f t="shared" si="0"/>
        <v>2012</v>
      </c>
      <c r="E29" s="142" t="s">
        <v>113</v>
      </c>
      <c r="F29" s="132" t="s">
        <v>434</v>
      </c>
      <c r="G29" s="133">
        <v>830107673</v>
      </c>
      <c r="H29" s="1026"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2" t="str">
        <f>IFERROR(VLOOKUP(E29,'liquidaciones '!$B$2:$C$1048576,2,0),"NO")</f>
        <v>NO</v>
      </c>
      <c r="AO29" s="972" t="str">
        <f>IFERROR(VLOOKUP(E29,'liquidaciones '!$B$2:$I$1048576,8,0),"")</f>
        <v/>
      </c>
      <c r="AP29" s="337">
        <v>42074</v>
      </c>
      <c r="AQ29" s="177" t="str">
        <f t="shared" ca="1" si="11"/>
        <v>NO</v>
      </c>
      <c r="AR29" s="177" t="s">
        <v>983</v>
      </c>
      <c r="AS29" s="435"/>
      <c r="AT29" s="992"/>
      <c r="AX29" s="16"/>
      <c r="AY29" s="16"/>
    </row>
    <row r="30" spans="1:51" ht="47.25" customHeight="1" x14ac:dyDescent="0.25">
      <c r="A30" s="15">
        <v>1</v>
      </c>
      <c r="B30" s="15">
        <v>24</v>
      </c>
      <c r="C30" s="439"/>
      <c r="D30" s="439" t="str">
        <f t="shared" si="0"/>
        <v>2012</v>
      </c>
      <c r="E30" s="132" t="s">
        <v>16</v>
      </c>
      <c r="F30" s="132" t="s">
        <v>435</v>
      </c>
      <c r="G30" s="145">
        <v>900152368</v>
      </c>
      <c r="H30" s="1024"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2" t="str">
        <f>IFERROR(VLOOKUP(E30,'liquidaciones '!$B$2:$C$1048576,2,0),"NO")</f>
        <v>NO</v>
      </c>
      <c r="AO30" s="972" t="str">
        <f>IFERROR(VLOOKUP(E30,'liquidaciones '!$B$2:$I$1048576,8,0),"")</f>
        <v/>
      </c>
      <c r="AP30" s="337"/>
      <c r="AQ30" s="177" t="str">
        <f t="shared" ca="1" si="11"/>
        <v>NO</v>
      </c>
      <c r="AR30" s="177" t="s">
        <v>983</v>
      </c>
      <c r="AS30" s="435"/>
      <c r="AT30" s="992"/>
      <c r="AX30" s="16"/>
      <c r="AY30" s="16"/>
    </row>
    <row r="31" spans="1:51" ht="47.25" customHeight="1" x14ac:dyDescent="0.25">
      <c r="A31" s="15">
        <v>1</v>
      </c>
      <c r="B31" s="15">
        <v>25</v>
      </c>
      <c r="C31" s="439"/>
      <c r="D31" s="439" t="str">
        <f t="shared" si="0"/>
        <v>2012</v>
      </c>
      <c r="E31" s="144" t="s">
        <v>107</v>
      </c>
      <c r="F31" s="145" t="s">
        <v>108</v>
      </c>
      <c r="G31" s="143">
        <v>830038886</v>
      </c>
      <c r="H31" s="1025"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2" t="str">
        <f>IFERROR(VLOOKUP(E31,'liquidaciones '!$B$2:$C$1048576,2,0),"NO")</f>
        <v>NO</v>
      </c>
      <c r="AO31" s="972" t="str">
        <f>IFERROR(VLOOKUP(E31,'liquidaciones '!$B$2:$I$1048576,8,0),"")</f>
        <v/>
      </c>
      <c r="AP31" s="337">
        <v>41444</v>
      </c>
      <c r="AQ31" s="177" t="str">
        <f t="shared" ca="1" si="11"/>
        <v>NO</v>
      </c>
      <c r="AR31" s="177" t="s">
        <v>1056</v>
      </c>
      <c r="AS31" s="435"/>
      <c r="AT31" s="992"/>
      <c r="AX31" s="16"/>
      <c r="AY31" s="16"/>
    </row>
    <row r="32" spans="1:51" ht="47.25" customHeight="1" x14ac:dyDescent="0.25">
      <c r="A32" s="41">
        <v>1</v>
      </c>
      <c r="B32" s="15">
        <v>26</v>
      </c>
      <c r="C32" s="439"/>
      <c r="D32" s="439" t="str">
        <f t="shared" si="0"/>
        <v>2012</v>
      </c>
      <c r="E32" s="142" t="s">
        <v>61</v>
      </c>
      <c r="F32" s="132" t="s">
        <v>436</v>
      </c>
      <c r="G32" s="137">
        <v>860011153</v>
      </c>
      <c r="H32" s="1024" t="s">
        <v>1373</v>
      </c>
      <c r="I32" s="134">
        <v>85219000</v>
      </c>
      <c r="J32" s="876" t="s">
        <v>4092</v>
      </c>
      <c r="K32" s="135">
        <v>2012</v>
      </c>
      <c r="L32" s="548"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1257</v>
      </c>
      <c r="AF32" s="173" t="s">
        <v>1514</v>
      </c>
      <c r="AG32" s="173"/>
      <c r="AH32" s="281"/>
      <c r="AI32" s="174"/>
      <c r="AJ32" s="181" t="s">
        <v>993</v>
      </c>
      <c r="AK32" s="181" t="str">
        <f t="shared" ca="1" si="9"/>
        <v>TERMINO</v>
      </c>
      <c r="AL32" s="181" t="s">
        <v>573</v>
      </c>
      <c r="AM32" s="176" t="s">
        <v>390</v>
      </c>
      <c r="AN32" s="872" t="str">
        <f>IFERROR(VLOOKUP(E32,'liquidaciones '!$B$2:$C$1048576,2,0),"NO")</f>
        <v>LIQUIDADO</v>
      </c>
      <c r="AO32" s="972">
        <f>IFERROR(VLOOKUP(E32,'liquidaciones '!$B$2:$I$1048576,8,0),"")</f>
        <v>0</v>
      </c>
      <c r="AP32" s="337">
        <v>42004</v>
      </c>
      <c r="AQ32" s="177" t="str">
        <f t="shared" ca="1" si="11"/>
        <v>NO</v>
      </c>
      <c r="AR32" s="177"/>
      <c r="AS32" s="435"/>
      <c r="AT32" s="992"/>
      <c r="AX32" s="16"/>
      <c r="AY32" s="16"/>
    </row>
    <row r="33" spans="1:51" ht="47.25" customHeight="1" x14ac:dyDescent="0.25">
      <c r="A33" s="41">
        <v>1</v>
      </c>
      <c r="B33" s="15">
        <v>27</v>
      </c>
      <c r="C33" s="439"/>
      <c r="D33" s="439" t="str">
        <f t="shared" si="0"/>
        <v>2012</v>
      </c>
      <c r="E33" s="132" t="s">
        <v>58</v>
      </c>
      <c r="F33" s="132" t="s">
        <v>437</v>
      </c>
      <c r="G33" s="137"/>
      <c r="H33" s="1024"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2" t="str">
        <f>IFERROR(VLOOKUP(E33,'liquidaciones '!$B$2:$C$1048576,2,0),"NO")</f>
        <v>NO</v>
      </c>
      <c r="AO33" s="972" t="str">
        <f>IFERROR(VLOOKUP(E33,'liquidaciones '!$B$2:$I$1048576,8,0),"")</f>
        <v/>
      </c>
      <c r="AP33" s="337"/>
      <c r="AQ33" s="177" t="str">
        <f t="shared" ca="1" si="11"/>
        <v>NO</v>
      </c>
      <c r="AR33" s="177"/>
      <c r="AS33" s="435"/>
      <c r="AT33" s="992"/>
      <c r="AX33" s="16"/>
      <c r="AY33" s="16"/>
    </row>
    <row r="34" spans="1:51" ht="47.25" customHeight="1" x14ac:dyDescent="0.25">
      <c r="A34" s="15">
        <v>2</v>
      </c>
      <c r="B34" s="15">
        <v>28</v>
      </c>
      <c r="C34" s="439"/>
      <c r="D34" s="439" t="str">
        <f t="shared" si="0"/>
        <v>2012</v>
      </c>
      <c r="E34" s="132" t="s">
        <v>423</v>
      </c>
      <c r="F34" s="132" t="s">
        <v>13</v>
      </c>
      <c r="G34" s="153">
        <v>860007590</v>
      </c>
      <c r="H34" s="1024"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2" t="str">
        <f>IFERROR(VLOOKUP(E34,'liquidaciones '!$B$2:$C$1048576,2,0),"NO")</f>
        <v>NO</v>
      </c>
      <c r="AO34" s="972" t="str">
        <f>IFERROR(VLOOKUP(E34,'liquidaciones '!$B$2:$I$1048576,8,0),"")</f>
        <v/>
      </c>
      <c r="AP34" s="337"/>
      <c r="AQ34" s="177" t="str">
        <f t="shared" ca="1" si="11"/>
        <v>NO</v>
      </c>
      <c r="AR34" s="177" t="s">
        <v>1574</v>
      </c>
      <c r="AS34" s="435"/>
      <c r="AT34" s="992"/>
    </row>
    <row r="35" spans="1:51" ht="47.25" customHeight="1" x14ac:dyDescent="0.25">
      <c r="A35" s="15">
        <v>1</v>
      </c>
      <c r="B35" s="15">
        <v>29</v>
      </c>
      <c r="C35" s="439"/>
      <c r="D35" s="439" t="str">
        <f t="shared" si="0"/>
        <v>2012</v>
      </c>
      <c r="E35" s="132" t="s">
        <v>28</v>
      </c>
      <c r="F35" s="132" t="s">
        <v>29</v>
      </c>
      <c r="G35" s="133">
        <v>860536029</v>
      </c>
      <c r="H35" s="1024"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2" t="str">
        <f>IFERROR(VLOOKUP(E35,'liquidaciones '!$B$2:$C$1048576,2,0),"NO")</f>
        <v>NO</v>
      </c>
      <c r="AO35" s="972" t="str">
        <f>IFERROR(VLOOKUP(E35,'liquidaciones '!$B$2:$I$1048576,8,0),"")</f>
        <v/>
      </c>
      <c r="AP35" s="342">
        <v>41659</v>
      </c>
      <c r="AQ35" s="177" t="str">
        <f t="shared" ca="1" si="11"/>
        <v>NO</v>
      </c>
      <c r="AR35" s="177" t="s">
        <v>1166</v>
      </c>
      <c r="AS35" s="435"/>
      <c r="AT35" s="992"/>
    </row>
    <row r="36" spans="1:51" ht="47.25" customHeight="1" x14ac:dyDescent="0.25">
      <c r="A36" s="15">
        <v>1</v>
      </c>
      <c r="B36" s="41">
        <v>30</v>
      </c>
      <c r="C36" s="440"/>
      <c r="D36" s="439" t="str">
        <f t="shared" si="0"/>
        <v>2012</v>
      </c>
      <c r="E36" s="132" t="s">
        <v>32</v>
      </c>
      <c r="F36" s="132" t="s">
        <v>33</v>
      </c>
      <c r="G36" s="133">
        <v>860509265</v>
      </c>
      <c r="H36" s="1024" t="s">
        <v>452</v>
      </c>
      <c r="I36" s="134">
        <v>795000</v>
      </c>
      <c r="J36" s="876" t="s">
        <v>4352</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2" t="str">
        <f>IFERROR(VLOOKUP(E36,'liquidaciones '!$B$2:$C$1048576,2,0),"NO")</f>
        <v>LIQUIDADO</v>
      </c>
      <c r="AO36" s="972">
        <f>IFERROR(VLOOKUP(E36,'liquidaciones '!$B$2:$I$1048576,8,0),"")</f>
        <v>0</v>
      </c>
      <c r="AP36" s="337">
        <v>42208</v>
      </c>
      <c r="AQ36" s="177" t="str">
        <f t="shared" ca="1" si="11"/>
        <v>NO</v>
      </c>
      <c r="AR36" s="177" t="s">
        <v>1574</v>
      </c>
      <c r="AS36" s="435"/>
      <c r="AT36" s="992"/>
    </row>
    <row r="37" spans="1:51" ht="47.25" customHeight="1" x14ac:dyDescent="0.25">
      <c r="A37" s="15">
        <v>1</v>
      </c>
      <c r="B37" s="15">
        <v>31</v>
      </c>
      <c r="C37" s="439"/>
      <c r="D37" s="439" t="str">
        <f t="shared" si="0"/>
        <v>2012</v>
      </c>
      <c r="E37" s="144" t="s">
        <v>109</v>
      </c>
      <c r="F37" s="145" t="s">
        <v>420</v>
      </c>
      <c r="G37" s="133">
        <v>800008838</v>
      </c>
      <c r="H37" s="1025"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2" t="str">
        <f>IFERROR(VLOOKUP(E37,'liquidaciones '!$B$2:$C$1048576,2,0),"NO")</f>
        <v>NO</v>
      </c>
      <c r="AO37" s="972" t="str">
        <f>IFERROR(VLOOKUP(E37,'liquidaciones '!$B$2:$I$1048576,8,0),"")</f>
        <v/>
      </c>
      <c r="AP37" s="337"/>
      <c r="AQ37" s="177" t="str">
        <f t="shared" ca="1" si="11"/>
        <v>NO</v>
      </c>
      <c r="AR37" s="177" t="s">
        <v>1574</v>
      </c>
      <c r="AS37" s="435"/>
      <c r="AT37" s="992"/>
    </row>
    <row r="38" spans="1:51" ht="47.25" customHeight="1" x14ac:dyDescent="0.25">
      <c r="A38" s="15">
        <v>3</v>
      </c>
      <c r="B38" s="15">
        <v>32</v>
      </c>
      <c r="C38" s="439"/>
      <c r="D38" s="439" t="str">
        <f t="shared" si="0"/>
        <v>2012</v>
      </c>
      <c r="E38" s="132" t="s">
        <v>34</v>
      </c>
      <c r="F38" s="132" t="s">
        <v>1009</v>
      </c>
      <c r="G38" s="133">
        <v>51979294</v>
      </c>
      <c r="H38" s="1024"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2" t="str">
        <f>IFERROR(VLOOKUP(E38,'liquidaciones '!$B$2:$C$1048576,2,0),"NO")</f>
        <v>NO</v>
      </c>
      <c r="AO38" s="972" t="str">
        <f>IFERROR(VLOOKUP(E38,'liquidaciones '!$B$2:$I$1048576,8,0),"")</f>
        <v/>
      </c>
      <c r="AP38" s="335">
        <v>41845</v>
      </c>
      <c r="AQ38" s="177" t="str">
        <f t="shared" ca="1" si="11"/>
        <v>NO</v>
      </c>
      <c r="AR38" s="177" t="s">
        <v>983</v>
      </c>
      <c r="AS38" s="435"/>
      <c r="AT38" s="992"/>
    </row>
    <row r="39" spans="1:51" ht="47.25" customHeight="1" x14ac:dyDescent="0.25">
      <c r="A39" s="15">
        <v>3</v>
      </c>
      <c r="B39" s="15">
        <v>33</v>
      </c>
      <c r="C39" s="439"/>
      <c r="D39" s="439" t="str">
        <f t="shared" si="0"/>
        <v>2012</v>
      </c>
      <c r="E39" s="145" t="s">
        <v>10</v>
      </c>
      <c r="F39" s="145" t="s">
        <v>1010</v>
      </c>
      <c r="G39" s="133">
        <v>39753021</v>
      </c>
      <c r="H39" s="1025"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2" t="str">
        <f>IFERROR(VLOOKUP(E39,'liquidaciones '!$B$2:$C$1048576,2,0),"NO")</f>
        <v>NO</v>
      </c>
      <c r="AO39" s="972" t="str">
        <f>IFERROR(VLOOKUP(E39,'liquidaciones '!$B$2:$I$1048576,8,0),"")</f>
        <v/>
      </c>
      <c r="AP39" s="335">
        <v>42150</v>
      </c>
      <c r="AQ39" s="177" t="str">
        <f t="shared" ca="1" si="11"/>
        <v>NO</v>
      </c>
      <c r="AR39" s="177" t="s">
        <v>1056</v>
      </c>
      <c r="AS39" s="435"/>
      <c r="AT39" s="992"/>
    </row>
    <row r="40" spans="1:51" ht="47.25" customHeight="1" x14ac:dyDescent="0.25">
      <c r="A40" s="15">
        <v>1</v>
      </c>
      <c r="B40" s="15">
        <v>34</v>
      </c>
      <c r="C40" s="439"/>
      <c r="D40" s="439" t="str">
        <f t="shared" si="0"/>
        <v>2012</v>
      </c>
      <c r="E40" s="142" t="s">
        <v>114</v>
      </c>
      <c r="F40" s="132" t="s">
        <v>115</v>
      </c>
      <c r="G40" s="133">
        <v>830031631</v>
      </c>
      <c r="H40" s="1024"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2" t="str">
        <f>IFERROR(VLOOKUP(E40,'liquidaciones '!$B$2:$C$1048576,2,0),"NO")</f>
        <v>NO</v>
      </c>
      <c r="AO40" s="972" t="str">
        <f>IFERROR(VLOOKUP(E40,'liquidaciones '!$B$2:$I$1048576,8,0),"")</f>
        <v/>
      </c>
      <c r="AP40" s="337"/>
      <c r="AQ40" s="177" t="str">
        <f t="shared" ca="1" si="11"/>
        <v>NO</v>
      </c>
      <c r="AR40" s="177" t="s">
        <v>983</v>
      </c>
      <c r="AS40" s="435"/>
      <c r="AT40" s="992"/>
    </row>
    <row r="41" spans="1:51" ht="47.25" customHeight="1" x14ac:dyDescent="0.25">
      <c r="A41" s="15">
        <v>1</v>
      </c>
      <c r="B41" s="15">
        <v>35</v>
      </c>
      <c r="C41" s="439"/>
      <c r="D41" s="439" t="str">
        <f t="shared" si="0"/>
        <v>2012</v>
      </c>
      <c r="E41" s="145" t="s">
        <v>2257</v>
      </c>
      <c r="F41" s="145" t="s">
        <v>3</v>
      </c>
      <c r="G41" s="133">
        <v>830095213</v>
      </c>
      <c r="H41" s="1025" t="s">
        <v>456</v>
      </c>
      <c r="I41" s="146">
        <v>315000000</v>
      </c>
      <c r="J41" s="134" t="s">
        <v>1088</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2" t="str">
        <f>IFERROR(VLOOKUP(E41,'liquidaciones '!$B$2:$C$1048576,2,0),"NO")</f>
        <v>LIQUIDADO</v>
      </c>
      <c r="AO41" s="972">
        <f>IFERROR(VLOOKUP(E41,'liquidaciones '!$B$2:$I$1048576,8,0),"")</f>
        <v>0</v>
      </c>
      <c r="AP41" s="337">
        <v>42362</v>
      </c>
      <c r="AQ41" s="177" t="str">
        <f t="shared" ca="1" si="11"/>
        <v>NO</v>
      </c>
      <c r="AR41" s="177" t="s">
        <v>1574</v>
      </c>
      <c r="AS41" s="435"/>
      <c r="AT41" s="992"/>
    </row>
    <row r="42" spans="1:51" ht="47.25" customHeight="1" x14ac:dyDescent="0.25">
      <c r="A42" s="15">
        <v>3</v>
      </c>
      <c r="B42" s="15">
        <v>36</v>
      </c>
      <c r="C42" s="439"/>
      <c r="D42" s="439" t="str">
        <f t="shared" si="0"/>
        <v>2012</v>
      </c>
      <c r="E42" s="142" t="s">
        <v>106</v>
      </c>
      <c r="F42" s="132" t="s">
        <v>1011</v>
      </c>
      <c r="G42" s="133">
        <v>80089626</v>
      </c>
      <c r="H42" s="1024"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2" t="str">
        <f>IFERROR(VLOOKUP(E42,'liquidaciones '!$B$2:$C$1048576,2,0),"NO")</f>
        <v>NO</v>
      </c>
      <c r="AO42" s="972" t="str">
        <f>IFERROR(VLOOKUP(E42,'liquidaciones '!$B$2:$I$1048576,8,0),"")</f>
        <v/>
      </c>
      <c r="AP42" s="335">
        <v>41904</v>
      </c>
      <c r="AQ42" s="177" t="str">
        <f t="shared" ca="1" si="11"/>
        <v>NO</v>
      </c>
      <c r="AR42" s="177" t="s">
        <v>983</v>
      </c>
      <c r="AS42" s="435"/>
      <c r="AT42" s="992"/>
    </row>
    <row r="43" spans="1:51" ht="47.25" customHeight="1" x14ac:dyDescent="0.25">
      <c r="A43" s="15">
        <v>3</v>
      </c>
      <c r="B43" s="15">
        <v>37</v>
      </c>
      <c r="C43" s="439"/>
      <c r="D43" s="439" t="str">
        <f t="shared" si="0"/>
        <v>2012</v>
      </c>
      <c r="E43" s="142" t="s">
        <v>105</v>
      </c>
      <c r="F43" s="132" t="s">
        <v>1012</v>
      </c>
      <c r="G43" s="133">
        <v>52798119</v>
      </c>
      <c r="H43" s="1024"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2" t="str">
        <f>IFERROR(VLOOKUP(E43,'liquidaciones '!$B$2:$C$1048576,2,0),"NO")</f>
        <v>NO</v>
      </c>
      <c r="AO43" s="972" t="str">
        <f>IFERROR(VLOOKUP(E43,'liquidaciones '!$B$2:$I$1048576,8,0),"")</f>
        <v/>
      </c>
      <c r="AP43" s="337"/>
      <c r="AQ43" s="177" t="str">
        <f t="shared" ca="1" si="11"/>
        <v>NO</v>
      </c>
      <c r="AR43" s="177" t="s">
        <v>983</v>
      </c>
      <c r="AS43" s="435"/>
      <c r="AT43" s="992"/>
    </row>
    <row r="44" spans="1:51" ht="47.25" customHeight="1" x14ac:dyDescent="0.25">
      <c r="A44" s="15">
        <v>3</v>
      </c>
      <c r="B44" s="15">
        <v>38</v>
      </c>
      <c r="C44" s="439"/>
      <c r="D44" s="439" t="str">
        <f t="shared" si="0"/>
        <v>2012</v>
      </c>
      <c r="E44" s="145" t="s">
        <v>17</v>
      </c>
      <c r="F44" s="145" t="s">
        <v>18</v>
      </c>
      <c r="G44" s="133">
        <v>79425541</v>
      </c>
      <c r="H44" s="1025" t="s">
        <v>319</v>
      </c>
      <c r="I44" s="146">
        <v>23994880</v>
      </c>
      <c r="J44" s="876" t="s">
        <v>4357</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2" t="str">
        <f>IFERROR(VLOOKUP(E44,'liquidaciones '!$B$2:$C$1048576,2,0),"NO")</f>
        <v>LIQUIDADO</v>
      </c>
      <c r="AO44" s="972">
        <f>IFERROR(VLOOKUP(E44,'liquidaciones '!$B$2:$I$1048576,8,0),"")</f>
        <v>0</v>
      </c>
      <c r="AP44" s="335">
        <v>41654</v>
      </c>
      <c r="AQ44" s="177" t="str">
        <f t="shared" ca="1" si="11"/>
        <v>NO</v>
      </c>
      <c r="AR44" s="177" t="s">
        <v>983</v>
      </c>
      <c r="AS44" s="435"/>
      <c r="AT44" s="992"/>
    </row>
    <row r="45" spans="1:51" ht="47.25" customHeight="1" x14ac:dyDescent="0.25">
      <c r="A45" s="15">
        <v>3</v>
      </c>
      <c r="B45" s="15">
        <v>39</v>
      </c>
      <c r="C45" s="439"/>
      <c r="D45" s="439" t="str">
        <f t="shared" si="0"/>
        <v>2012</v>
      </c>
      <c r="E45" s="132" t="s">
        <v>24</v>
      </c>
      <c r="F45" s="132" t="s">
        <v>1013</v>
      </c>
      <c r="G45" s="133">
        <v>5946865</v>
      </c>
      <c r="H45" s="1024"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2" t="str">
        <f>IFERROR(VLOOKUP(E45,'liquidaciones '!$B$2:$C$1048576,2,0),"NO")</f>
        <v>NO</v>
      </c>
      <c r="AO45" s="972" t="str">
        <f>IFERROR(VLOOKUP(E45,'liquidaciones '!$B$2:$I$1048576,8,0),"")</f>
        <v/>
      </c>
      <c r="AP45" s="335"/>
      <c r="AQ45" s="177" t="str">
        <f t="shared" ca="1" si="11"/>
        <v>NO</v>
      </c>
      <c r="AR45" s="177" t="s">
        <v>982</v>
      </c>
      <c r="AS45" s="435"/>
      <c r="AT45" s="992"/>
    </row>
    <row r="46" spans="1:51" ht="47.25" customHeight="1" x14ac:dyDescent="0.25">
      <c r="A46" s="15">
        <v>1</v>
      </c>
      <c r="B46" s="15">
        <v>40</v>
      </c>
      <c r="C46" s="439"/>
      <c r="D46" s="439" t="str">
        <f t="shared" si="0"/>
        <v>2012</v>
      </c>
      <c r="E46" s="144" t="s">
        <v>118</v>
      </c>
      <c r="F46" s="145" t="s">
        <v>1014</v>
      </c>
      <c r="G46" s="133">
        <v>900220190</v>
      </c>
      <c r="H46" s="1025"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2" t="str">
        <f>IFERROR(VLOOKUP(E46,'liquidaciones '!$B$2:$C$1048576,2,0),"NO")</f>
        <v>NO</v>
      </c>
      <c r="AO46" s="972" t="str">
        <f>IFERROR(VLOOKUP(E46,'liquidaciones '!$B$2:$I$1048576,8,0),"")</f>
        <v/>
      </c>
      <c r="AP46" s="337"/>
      <c r="AQ46" s="177" t="str">
        <f t="shared" ca="1" si="11"/>
        <v>NO</v>
      </c>
      <c r="AR46" s="177" t="s">
        <v>982</v>
      </c>
      <c r="AS46" s="435"/>
      <c r="AT46" s="992"/>
    </row>
    <row r="47" spans="1:51" ht="47.25" customHeight="1" x14ac:dyDescent="0.25">
      <c r="A47" s="15">
        <v>1</v>
      </c>
      <c r="B47" s="15">
        <v>41</v>
      </c>
      <c r="C47" s="439"/>
      <c r="D47" s="439" t="str">
        <f t="shared" si="0"/>
        <v>2012</v>
      </c>
      <c r="E47" s="142" t="s">
        <v>62</v>
      </c>
      <c r="F47" s="279" t="s">
        <v>1015</v>
      </c>
      <c r="G47" s="133">
        <v>900350416</v>
      </c>
      <c r="H47" s="1024" t="s">
        <v>416</v>
      </c>
      <c r="I47" s="134">
        <v>24000000</v>
      </c>
      <c r="J47" s="134" t="s">
        <v>1088</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2" t="str">
        <f>IFERROR(VLOOKUP(E47,'liquidaciones '!$B$2:$C$1048576,2,0),"NO")</f>
        <v>NO</v>
      </c>
      <c r="AO47" s="972" t="str">
        <f>IFERROR(VLOOKUP(E47,'liquidaciones '!$B$2:$I$1048576,8,0),"")</f>
        <v/>
      </c>
      <c r="AP47" s="337">
        <v>42338</v>
      </c>
      <c r="AQ47" s="177" t="str">
        <f t="shared" ca="1" si="11"/>
        <v>NO</v>
      </c>
      <c r="AR47" s="177" t="s">
        <v>982</v>
      </c>
      <c r="AS47" s="435"/>
      <c r="AT47" s="992"/>
    </row>
    <row r="48" spans="1:51" ht="47.25" customHeight="1" x14ac:dyDescent="0.25">
      <c r="A48" s="15">
        <v>3</v>
      </c>
      <c r="B48" s="15">
        <v>42</v>
      </c>
      <c r="C48" s="439"/>
      <c r="D48" s="439" t="str">
        <f t="shared" si="0"/>
        <v>2012</v>
      </c>
      <c r="E48" s="132" t="s">
        <v>30</v>
      </c>
      <c r="F48" s="132" t="s">
        <v>31</v>
      </c>
      <c r="G48" s="133">
        <v>80725449</v>
      </c>
      <c r="H48" s="1024"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2" t="str">
        <f>IFERROR(VLOOKUP(E48,'liquidaciones '!$B$2:$C$1048576,2,0),"NO")</f>
        <v>NO</v>
      </c>
      <c r="AO48" s="972" t="str">
        <f>IFERROR(VLOOKUP(E48,'liquidaciones '!$B$2:$I$1048576,8,0),"")</f>
        <v/>
      </c>
      <c r="AP48" s="335"/>
      <c r="AQ48" s="177" t="str">
        <f t="shared" ca="1" si="11"/>
        <v>NO</v>
      </c>
      <c r="AR48" s="177" t="s">
        <v>1574</v>
      </c>
      <c r="AS48" s="435"/>
      <c r="AT48" s="992"/>
    </row>
    <row r="49" spans="1:46" ht="47.25" customHeight="1" x14ac:dyDescent="0.25">
      <c r="A49" s="15">
        <v>1</v>
      </c>
      <c r="B49" s="15">
        <v>43</v>
      </c>
      <c r="C49" s="439"/>
      <c r="D49" s="439" t="str">
        <f t="shared" si="0"/>
        <v>2012</v>
      </c>
      <c r="E49" s="132" t="s">
        <v>14</v>
      </c>
      <c r="F49" s="132" t="s">
        <v>15</v>
      </c>
      <c r="G49" s="143">
        <v>830067096</v>
      </c>
      <c r="H49" s="1024" t="s">
        <v>317</v>
      </c>
      <c r="I49" s="134">
        <v>7740000</v>
      </c>
      <c r="J49" s="876" t="s">
        <v>4348</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2" t="str">
        <f>IFERROR(VLOOKUP(E49,'liquidaciones '!$B$2:$C$1048576,2,0),"NO")</f>
        <v>LIQUIDADO</v>
      </c>
      <c r="AO49" s="972">
        <f>IFERROR(VLOOKUP(E49,'liquidaciones '!$B$2:$I$1048576,8,0),"")</f>
        <v>0</v>
      </c>
      <c r="AP49" s="335">
        <v>41653</v>
      </c>
      <c r="AQ49" s="177" t="str">
        <f t="shared" ca="1" si="11"/>
        <v>NO</v>
      </c>
      <c r="AR49" s="177" t="s">
        <v>1511</v>
      </c>
      <c r="AS49" s="435"/>
      <c r="AT49" s="992"/>
    </row>
    <row r="50" spans="1:46" ht="47.25" customHeight="1" x14ac:dyDescent="0.25">
      <c r="A50" s="15">
        <v>1</v>
      </c>
      <c r="B50" s="15">
        <v>44</v>
      </c>
      <c r="C50" s="439"/>
      <c r="D50" s="439" t="str">
        <f t="shared" si="0"/>
        <v>2012</v>
      </c>
      <c r="E50" s="145" t="s">
        <v>40</v>
      </c>
      <c r="F50" s="145" t="s">
        <v>41</v>
      </c>
      <c r="G50" s="143">
        <v>830034865</v>
      </c>
      <c r="H50" s="1025"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2" t="str">
        <f>IFERROR(VLOOKUP(E50,'liquidaciones '!$B$2:$C$1048576,2,0),"NO")</f>
        <v>LIQUIDADO</v>
      </c>
      <c r="AO50" s="972">
        <f>IFERROR(VLOOKUP(E50,'liquidaciones '!$B$2:$I$1048576,8,0),"")</f>
        <v>0</v>
      </c>
      <c r="AP50" s="337">
        <v>41953</v>
      </c>
      <c r="AQ50" s="177" t="str">
        <f t="shared" ca="1" si="11"/>
        <v>NO</v>
      </c>
      <c r="AR50" s="177" t="s">
        <v>1166</v>
      </c>
      <c r="AS50" s="435"/>
      <c r="AT50" s="992"/>
    </row>
    <row r="51" spans="1:46" ht="47.25" customHeight="1" x14ac:dyDescent="0.25">
      <c r="A51" s="15">
        <v>1</v>
      </c>
      <c r="B51" s="15">
        <v>45</v>
      </c>
      <c r="C51" s="439"/>
      <c r="D51" s="439" t="str">
        <f t="shared" si="0"/>
        <v>2012</v>
      </c>
      <c r="E51" s="132" t="s">
        <v>72</v>
      </c>
      <c r="F51" s="132" t="s">
        <v>73</v>
      </c>
      <c r="G51" s="143">
        <v>830012587</v>
      </c>
      <c r="H51" s="1024" t="s">
        <v>395</v>
      </c>
      <c r="I51" s="134">
        <v>950000000</v>
      </c>
      <c r="J51" s="876" t="s">
        <v>4356</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2" t="str">
        <f>IFERROR(VLOOKUP(E51,'liquidaciones '!$B$2:$C$1048576,2,0),"NO")</f>
        <v>LIQUIDADO</v>
      </c>
      <c r="AO51" s="972">
        <f>IFERROR(VLOOKUP(E51,'liquidaciones '!$B$2:$I$1048576,8,0),"")</f>
        <v>0</v>
      </c>
      <c r="AP51" s="335">
        <v>41565</v>
      </c>
      <c r="AQ51" s="177" t="str">
        <f t="shared" ca="1" si="11"/>
        <v>NO</v>
      </c>
      <c r="AR51" s="177" t="s">
        <v>982</v>
      </c>
      <c r="AS51" s="435"/>
      <c r="AT51" s="992"/>
    </row>
    <row r="52" spans="1:46" ht="47.25" customHeight="1" x14ac:dyDescent="0.25">
      <c r="A52" s="15">
        <v>2</v>
      </c>
      <c r="B52" s="15">
        <v>46</v>
      </c>
      <c r="C52" s="439"/>
      <c r="D52" s="439" t="str">
        <f t="shared" si="0"/>
        <v>2012</v>
      </c>
      <c r="E52" s="142" t="s">
        <v>153</v>
      </c>
      <c r="F52" s="132" t="s">
        <v>154</v>
      </c>
      <c r="G52" s="143">
        <v>900118932</v>
      </c>
      <c r="H52" s="1024"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2" t="str">
        <f>IFERROR(VLOOKUP(E52,'liquidaciones '!$B$2:$C$1048576,2,0),"NO")</f>
        <v>NO</v>
      </c>
      <c r="AO52" s="972" t="str">
        <f>IFERROR(VLOOKUP(E52,'liquidaciones '!$B$2:$I$1048576,8,0),"")</f>
        <v/>
      </c>
      <c r="AP52" s="338"/>
      <c r="AQ52" s="177" t="str">
        <f t="shared" ca="1" si="11"/>
        <v>NO</v>
      </c>
      <c r="AR52" s="177" t="s">
        <v>1574</v>
      </c>
      <c r="AS52" s="435"/>
      <c r="AT52" s="992"/>
    </row>
    <row r="53" spans="1:46" ht="47.25" customHeight="1" x14ac:dyDescent="0.25">
      <c r="A53" s="15">
        <v>1</v>
      </c>
      <c r="B53" s="15">
        <v>47</v>
      </c>
      <c r="C53" s="439"/>
      <c r="D53" s="439" t="str">
        <f t="shared" si="0"/>
        <v>2012</v>
      </c>
      <c r="E53" s="145" t="s">
        <v>59</v>
      </c>
      <c r="F53" s="145" t="s">
        <v>60</v>
      </c>
      <c r="G53" s="143">
        <v>860009578</v>
      </c>
      <c r="H53" s="1025" t="s">
        <v>336</v>
      </c>
      <c r="I53" s="146">
        <v>4100000</v>
      </c>
      <c r="J53" s="134" t="s">
        <v>1088</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2" t="str">
        <f>IFERROR(VLOOKUP(E53,'liquidaciones '!$B$2:$C$1048576,2,0),"NO")</f>
        <v>EN TRÁMITE</v>
      </c>
      <c r="AO53" s="972">
        <f>IFERROR(VLOOKUP(E53,'liquidaciones '!$B$2:$I$1048576,8,0),"")</f>
        <v>0</v>
      </c>
      <c r="AP53" s="337"/>
      <c r="AQ53" s="177" t="str">
        <f t="shared" ca="1" si="11"/>
        <v>NO</v>
      </c>
      <c r="AR53" s="177"/>
      <c r="AS53" s="435"/>
      <c r="AT53" s="992"/>
    </row>
    <row r="54" spans="1:46" ht="47.25" customHeight="1" x14ac:dyDescent="0.25">
      <c r="A54" s="15">
        <v>1</v>
      </c>
      <c r="B54" s="15">
        <v>48</v>
      </c>
      <c r="C54" s="439"/>
      <c r="D54" s="439" t="str">
        <f t="shared" si="0"/>
        <v>2012</v>
      </c>
      <c r="E54" s="132" t="s">
        <v>44</v>
      </c>
      <c r="F54" s="132" t="s">
        <v>1017</v>
      </c>
      <c r="G54" s="143">
        <v>900268429</v>
      </c>
      <c r="H54" s="1024"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2" t="str">
        <f>IFERROR(VLOOKUP(E54,'liquidaciones '!$B$2:$C$1048576,2,0),"NO")</f>
        <v>NO</v>
      </c>
      <c r="AO54" s="972" t="str">
        <f>IFERROR(VLOOKUP(E54,'liquidaciones '!$B$2:$I$1048576,8,0),"")</f>
        <v/>
      </c>
      <c r="AP54" s="337">
        <v>42160</v>
      </c>
      <c r="AQ54" s="177" t="str">
        <f t="shared" ca="1" si="11"/>
        <v>NO</v>
      </c>
      <c r="AR54" s="177" t="s">
        <v>1166</v>
      </c>
      <c r="AS54" s="435"/>
      <c r="AT54" s="992"/>
    </row>
    <row r="55" spans="1:46" ht="47.25" customHeight="1" x14ac:dyDescent="0.25">
      <c r="A55" s="15">
        <v>1</v>
      </c>
      <c r="B55" s="15">
        <v>49</v>
      </c>
      <c r="C55" s="439"/>
      <c r="D55" s="439" t="str">
        <f t="shared" si="0"/>
        <v>2012</v>
      </c>
      <c r="E55" s="145" t="s">
        <v>7</v>
      </c>
      <c r="F55" s="145" t="s">
        <v>8</v>
      </c>
      <c r="G55" s="143">
        <v>830006177</v>
      </c>
      <c r="H55" s="1025"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2" t="str">
        <f>IFERROR(VLOOKUP(E55,'liquidaciones '!$B$2:$C$1048576,2,0),"NO")</f>
        <v>LIQUIDADO</v>
      </c>
      <c r="AO55" s="972">
        <f>IFERROR(VLOOKUP(E55,'liquidaciones '!$B$2:$I$1048576,8,0),"")</f>
        <v>0</v>
      </c>
      <c r="AP55" s="337">
        <v>41971</v>
      </c>
      <c r="AQ55" s="177" t="str">
        <f t="shared" ca="1" si="11"/>
        <v>NO</v>
      </c>
      <c r="AR55" s="177" t="s">
        <v>982</v>
      </c>
      <c r="AS55" s="435"/>
      <c r="AT55" s="992"/>
    </row>
    <row r="56" spans="1:46" ht="47.25" customHeight="1" x14ac:dyDescent="0.25">
      <c r="A56" s="15">
        <v>1</v>
      </c>
      <c r="B56" s="15">
        <v>50</v>
      </c>
      <c r="C56" s="439"/>
      <c r="D56" s="439" t="str">
        <f t="shared" si="0"/>
        <v>2012</v>
      </c>
      <c r="E56" s="145" t="s">
        <v>6</v>
      </c>
      <c r="F56" s="145" t="s">
        <v>1018</v>
      </c>
      <c r="G56" s="143">
        <v>900548648</v>
      </c>
      <c r="H56" s="1025"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2" t="str">
        <f>IFERROR(VLOOKUP(E56,'liquidaciones '!$B$2:$C$1048576,2,0),"NO")</f>
        <v>NO</v>
      </c>
      <c r="AO56" s="972" t="str">
        <f>IFERROR(VLOOKUP(E56,'liquidaciones '!$B$2:$I$1048576,8,0),"")</f>
        <v/>
      </c>
      <c r="AP56" s="337"/>
      <c r="AQ56" s="177" t="str">
        <f t="shared" ca="1" si="11"/>
        <v>NO</v>
      </c>
      <c r="AR56" s="177" t="s">
        <v>1574</v>
      </c>
      <c r="AS56" s="435"/>
      <c r="AT56" s="992"/>
    </row>
    <row r="57" spans="1:46" ht="47.25" customHeight="1" x14ac:dyDescent="0.25">
      <c r="A57" s="15">
        <v>3</v>
      </c>
      <c r="B57" s="399">
        <v>51</v>
      </c>
      <c r="C57" s="441"/>
      <c r="D57" s="439" t="str">
        <f t="shared" si="0"/>
        <v>2012</v>
      </c>
      <c r="E57" s="145" t="s">
        <v>35</v>
      </c>
      <c r="F57" s="145" t="s">
        <v>36</v>
      </c>
      <c r="G57" s="143">
        <v>79661783</v>
      </c>
      <c r="H57" s="1025"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2" t="str">
        <f>IFERROR(VLOOKUP(E57,'liquidaciones '!$B$2:$C$1048576,2,0),"NO")</f>
        <v>LIQUIDADO</v>
      </c>
      <c r="AO57" s="972">
        <f>IFERROR(VLOOKUP(E57,'liquidaciones '!$B$2:$I$1048576,8,0),"")</f>
        <v>0</v>
      </c>
      <c r="AP57" s="337">
        <v>42023</v>
      </c>
      <c r="AQ57" s="177" t="str">
        <f t="shared" ca="1" si="11"/>
        <v>NO</v>
      </c>
      <c r="AR57" s="177" t="s">
        <v>983</v>
      </c>
      <c r="AS57" s="435"/>
      <c r="AT57" s="992"/>
    </row>
    <row r="58" spans="1:46" ht="47.25" customHeight="1" x14ac:dyDescent="0.25">
      <c r="A58" s="15">
        <v>1</v>
      </c>
      <c r="B58" s="15">
        <v>52</v>
      </c>
      <c r="C58" s="439"/>
      <c r="D58" s="439" t="str">
        <f t="shared" si="0"/>
        <v>2012</v>
      </c>
      <c r="E58" s="145" t="s">
        <v>37</v>
      </c>
      <c r="F58" s="145" t="s">
        <v>38</v>
      </c>
      <c r="G58" s="143">
        <v>830053669</v>
      </c>
      <c r="H58" s="1025"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2" t="str">
        <f>IFERROR(VLOOKUP(E58,'liquidaciones '!$B$2:$C$1048576,2,0),"NO")</f>
        <v>LIQUIDADO</v>
      </c>
      <c r="AO58" s="972">
        <f>IFERROR(VLOOKUP(E58,'liquidaciones '!$B$2:$I$1048576,8,0),"")</f>
        <v>0</v>
      </c>
      <c r="AP58" s="337">
        <v>41977</v>
      </c>
      <c r="AQ58" s="177" t="str">
        <f t="shared" ca="1" si="11"/>
        <v>NO</v>
      </c>
      <c r="AR58" s="177" t="s">
        <v>1166</v>
      </c>
      <c r="AS58" s="435"/>
      <c r="AT58" s="992"/>
    </row>
    <row r="59" spans="1:46" ht="47.25" customHeight="1" x14ac:dyDescent="0.25">
      <c r="A59" s="15">
        <v>1</v>
      </c>
      <c r="B59" s="15">
        <v>53</v>
      </c>
      <c r="C59" s="439"/>
      <c r="D59" s="439" t="str">
        <f t="shared" si="0"/>
        <v>2012</v>
      </c>
      <c r="E59" s="145" t="s">
        <v>9</v>
      </c>
      <c r="F59" s="145" t="s">
        <v>1019</v>
      </c>
      <c r="G59" s="143">
        <v>900552779</v>
      </c>
      <c r="H59" s="1025"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2" t="str">
        <f>IFERROR(VLOOKUP(E59,'liquidaciones '!$B$2:$C$1048576,2,0),"NO")</f>
        <v>LIQUIDADO</v>
      </c>
      <c r="AO59" s="972">
        <f>IFERROR(VLOOKUP(E59,'liquidaciones '!$B$2:$I$1048576,8,0),"")</f>
        <v>0</v>
      </c>
      <c r="AP59" s="337">
        <v>42306</v>
      </c>
      <c r="AQ59" s="177" t="str">
        <f t="shared" ca="1" si="11"/>
        <v>NO</v>
      </c>
      <c r="AR59" s="177" t="s">
        <v>1166</v>
      </c>
      <c r="AS59" s="435"/>
      <c r="AT59" s="992"/>
    </row>
    <row r="60" spans="1:46" ht="47.25" customHeight="1" x14ac:dyDescent="0.25">
      <c r="A60" s="15">
        <v>1</v>
      </c>
      <c r="B60" s="15">
        <v>54</v>
      </c>
      <c r="C60" s="439"/>
      <c r="D60" s="439" t="str">
        <f t="shared" si="0"/>
        <v>2012</v>
      </c>
      <c r="E60" s="132" t="s">
        <v>63</v>
      </c>
      <c r="F60" s="132" t="s">
        <v>64</v>
      </c>
      <c r="G60" s="143">
        <v>830143378</v>
      </c>
      <c r="H60" s="1024"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2" t="str">
        <f>IFERROR(VLOOKUP(E60,'liquidaciones '!$B$2:$C$1048576,2,0),"NO")</f>
        <v>LIQUIDADO</v>
      </c>
      <c r="AO60" s="972">
        <f>IFERROR(VLOOKUP(E60,'liquidaciones '!$B$2:$I$1048576,8,0),"")</f>
        <v>0</v>
      </c>
      <c r="AP60" s="337">
        <v>41968</v>
      </c>
      <c r="AQ60" s="177" t="str">
        <f t="shared" ca="1" si="11"/>
        <v>NO</v>
      </c>
      <c r="AR60" s="177" t="s">
        <v>982</v>
      </c>
      <c r="AS60" s="435"/>
      <c r="AT60" s="992"/>
    </row>
    <row r="61" spans="1:46" ht="47.25" customHeight="1" x14ac:dyDescent="0.25">
      <c r="A61" s="15">
        <v>1</v>
      </c>
      <c r="B61" s="15">
        <v>55</v>
      </c>
      <c r="C61" s="439"/>
      <c r="D61" s="439" t="str">
        <f t="shared" si="0"/>
        <v>2012</v>
      </c>
      <c r="E61" s="142" t="s">
        <v>110</v>
      </c>
      <c r="F61" s="132" t="s">
        <v>111</v>
      </c>
      <c r="G61" s="133">
        <v>830126085</v>
      </c>
      <c r="H61" s="1024"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2" t="str">
        <f>IFERROR(VLOOKUP(E61,'liquidaciones '!$B$2:$C$1048576,2,0),"NO")</f>
        <v>NO</v>
      </c>
      <c r="AO61" s="972" t="str">
        <f>IFERROR(VLOOKUP(E61,'liquidaciones '!$B$2:$I$1048576,8,0),"")</f>
        <v/>
      </c>
      <c r="AP61" s="337">
        <v>41984</v>
      </c>
      <c r="AQ61" s="177" t="str">
        <f t="shared" ca="1" si="11"/>
        <v>NO</v>
      </c>
      <c r="AR61" s="177" t="s">
        <v>982</v>
      </c>
      <c r="AS61" s="435"/>
      <c r="AT61" s="992"/>
    </row>
    <row r="62" spans="1:46" ht="47.25" customHeight="1" x14ac:dyDescent="0.25">
      <c r="A62" s="15">
        <v>1</v>
      </c>
      <c r="B62" s="15">
        <v>56</v>
      </c>
      <c r="C62" s="439"/>
      <c r="D62" s="439" t="str">
        <f t="shared" si="0"/>
        <v>2012</v>
      </c>
      <c r="E62" s="132" t="s">
        <v>65</v>
      </c>
      <c r="F62" s="132" t="s">
        <v>66</v>
      </c>
      <c r="G62" s="143">
        <v>860015685</v>
      </c>
      <c r="H62" s="1024"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2" t="str">
        <f>IFERROR(VLOOKUP(E62,'liquidaciones '!$B$2:$C$1048576,2,0),"NO")</f>
        <v>LIQUIDADO</v>
      </c>
      <c r="AO62" s="972">
        <f>IFERROR(VLOOKUP(E62,'liquidaciones '!$B$2:$I$1048576,8,0),"")</f>
        <v>0</v>
      </c>
      <c r="AP62" s="337">
        <v>42017</v>
      </c>
      <c r="AQ62" s="177" t="str">
        <f t="shared" ca="1" si="11"/>
        <v>NO</v>
      </c>
      <c r="AR62" s="177" t="s">
        <v>1166</v>
      </c>
      <c r="AS62" s="435"/>
      <c r="AT62" s="992"/>
    </row>
    <row r="63" spans="1:46" ht="47.25" customHeight="1" x14ac:dyDescent="0.25">
      <c r="A63" s="15">
        <v>1</v>
      </c>
      <c r="B63" s="15">
        <v>57</v>
      </c>
      <c r="C63" s="439"/>
      <c r="D63" s="439" t="str">
        <f t="shared" si="0"/>
        <v>2012</v>
      </c>
      <c r="E63" s="142" t="s">
        <v>69</v>
      </c>
      <c r="F63" s="132" t="s">
        <v>77</v>
      </c>
      <c r="G63" s="153">
        <v>860506170</v>
      </c>
      <c r="H63" s="1024"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2" t="str">
        <f>IFERROR(VLOOKUP(E63,'liquidaciones '!$B$2:$C$1048576,2,0),"NO")</f>
        <v>NO</v>
      </c>
      <c r="AO63" s="972" t="str">
        <f>IFERROR(VLOOKUP(E63,'liquidaciones '!$B$2:$I$1048576,8,0),"")</f>
        <v/>
      </c>
      <c r="AP63" s="337"/>
      <c r="AQ63" s="177" t="str">
        <f t="shared" ca="1" si="11"/>
        <v>NO</v>
      </c>
      <c r="AR63" s="177" t="s">
        <v>982</v>
      </c>
      <c r="AS63" s="435"/>
      <c r="AT63" s="992"/>
    </row>
    <row r="64" spans="1:46" ht="47.25" customHeight="1" x14ac:dyDescent="0.25">
      <c r="A64" s="15">
        <v>1</v>
      </c>
      <c r="B64" s="15">
        <v>58</v>
      </c>
      <c r="C64" s="439"/>
      <c r="D64" s="439" t="str">
        <f t="shared" si="0"/>
        <v>2012</v>
      </c>
      <c r="E64" s="142" t="s">
        <v>396</v>
      </c>
      <c r="F64" s="164" t="s">
        <v>203</v>
      </c>
      <c r="G64" s="153">
        <v>860049921</v>
      </c>
      <c r="H64" s="1025" t="s">
        <v>346</v>
      </c>
      <c r="I64" s="146">
        <v>10440000</v>
      </c>
      <c r="J64" s="134" t="s">
        <v>1088</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2" t="str">
        <f>IFERROR(VLOOKUP(E64,'liquidaciones '!$B$2:$C$1048576,2,0),"NO")</f>
        <v>NO</v>
      </c>
      <c r="AO64" s="972" t="str">
        <f>IFERROR(VLOOKUP(E64,'liquidaciones '!$B$2:$I$1048576,8,0),"")</f>
        <v/>
      </c>
      <c r="AP64" s="337">
        <v>42221</v>
      </c>
      <c r="AQ64" s="177" t="str">
        <f t="shared" ca="1" si="11"/>
        <v>NO</v>
      </c>
      <c r="AR64" s="177" t="s">
        <v>1574</v>
      </c>
      <c r="AS64" s="435"/>
      <c r="AT64" s="992"/>
    </row>
    <row r="65" spans="1:46" ht="47.25" customHeight="1" x14ac:dyDescent="0.25">
      <c r="A65" s="15">
        <v>1</v>
      </c>
      <c r="B65" s="15">
        <v>59</v>
      </c>
      <c r="C65" s="439"/>
      <c r="D65" s="439" t="str">
        <f t="shared" si="0"/>
        <v>2012</v>
      </c>
      <c r="E65" s="145" t="s">
        <v>47</v>
      </c>
      <c r="F65" s="145" t="s">
        <v>48</v>
      </c>
      <c r="G65" s="143">
        <v>830085352</v>
      </c>
      <c r="H65" s="1025" t="s">
        <v>421</v>
      </c>
      <c r="I65" s="146">
        <v>24824832</v>
      </c>
      <c r="J65" s="134" t="s">
        <v>1088</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2" t="str">
        <f>IFERROR(VLOOKUP(E65,'liquidaciones '!$B$2:$C$1048576,2,0),"NO")</f>
        <v>LIQUIDADO</v>
      </c>
      <c r="AO65" s="972">
        <f>IFERROR(VLOOKUP(E65,'liquidaciones '!$B$2:$I$1048576,8,0),"")</f>
        <v>0</v>
      </c>
      <c r="AP65" s="337">
        <v>41982</v>
      </c>
      <c r="AQ65" s="177" t="str">
        <f t="shared" ca="1" si="11"/>
        <v>NO</v>
      </c>
      <c r="AR65" s="177" t="s">
        <v>1574</v>
      </c>
      <c r="AS65" s="435"/>
      <c r="AT65" s="992"/>
    </row>
    <row r="66" spans="1:46" ht="47.25" customHeight="1" x14ac:dyDescent="0.25">
      <c r="A66" s="15">
        <v>1</v>
      </c>
      <c r="B66" s="15">
        <v>60</v>
      </c>
      <c r="C66" s="439"/>
      <c r="D66" s="439" t="str">
        <f t="shared" si="0"/>
        <v>2012</v>
      </c>
      <c r="E66" s="132" t="s">
        <v>39</v>
      </c>
      <c r="F66" s="132" t="s">
        <v>1020</v>
      </c>
      <c r="G66" s="143">
        <v>900169179</v>
      </c>
      <c r="H66" s="1024"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2" t="str">
        <f>IFERROR(VLOOKUP(E66,'liquidaciones '!$B$2:$C$1048576,2,0),"NO")</f>
        <v>EN TRÁMITE</v>
      </c>
      <c r="AO66" s="972">
        <f>IFERROR(VLOOKUP(E66,'liquidaciones '!$B$2:$I$1048576,8,0),"")</f>
        <v>0</v>
      </c>
      <c r="AP66" s="337"/>
      <c r="AQ66" s="177" t="str">
        <f t="shared" ca="1" si="11"/>
        <v>NO</v>
      </c>
      <c r="AR66" s="177" t="s">
        <v>1574</v>
      </c>
      <c r="AS66" s="435"/>
      <c r="AT66" s="992"/>
    </row>
    <row r="67" spans="1:46" ht="47.25" customHeight="1" x14ac:dyDescent="0.25">
      <c r="A67" s="15">
        <v>1</v>
      </c>
      <c r="B67" s="15">
        <v>61</v>
      </c>
      <c r="C67" s="439"/>
      <c r="D67" s="439" t="str">
        <f t="shared" si="0"/>
        <v>2012</v>
      </c>
      <c r="E67" s="144" t="s">
        <v>49</v>
      </c>
      <c r="F67" s="145" t="s">
        <v>1021</v>
      </c>
      <c r="G67" s="143">
        <v>830042460</v>
      </c>
      <c r="H67" s="1025" t="s">
        <v>460</v>
      </c>
      <c r="I67" s="146">
        <v>299287875</v>
      </c>
      <c r="J67" s="876" t="s">
        <v>4347</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2" t="str">
        <f>IFERROR(VLOOKUP(E67,'liquidaciones '!$B$2:$C$1048576,2,0),"NO")</f>
        <v>LIQUIDADO</v>
      </c>
      <c r="AO67" s="972">
        <f>IFERROR(VLOOKUP(E67,'liquidaciones '!$B$2:$I$1048576,8,0),"")</f>
        <v>0</v>
      </c>
      <c r="AP67" s="337">
        <v>41799</v>
      </c>
      <c r="AQ67" s="177" t="str">
        <f t="shared" ca="1" si="11"/>
        <v>NO</v>
      </c>
      <c r="AR67" s="177" t="s">
        <v>1574</v>
      </c>
      <c r="AS67" s="435"/>
      <c r="AT67" s="992"/>
    </row>
    <row r="68" spans="1:46" ht="47.25" customHeight="1" x14ac:dyDescent="0.25">
      <c r="A68" s="15">
        <v>1</v>
      </c>
      <c r="B68" s="15">
        <v>62</v>
      </c>
      <c r="C68" s="439"/>
      <c r="D68" s="439" t="str">
        <f t="shared" si="0"/>
        <v>2012</v>
      </c>
      <c r="E68" s="145" t="s">
        <v>50</v>
      </c>
      <c r="F68" s="132" t="s">
        <v>1022</v>
      </c>
      <c r="G68" s="143">
        <v>830017796</v>
      </c>
      <c r="H68" s="1025" t="s">
        <v>331</v>
      </c>
      <c r="I68" s="146">
        <v>1392000</v>
      </c>
      <c r="J68" s="876" t="s">
        <v>4333</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2" t="str">
        <f>IFERROR(VLOOKUP(E68,'liquidaciones '!$B$2:$C$1048576,2,0),"NO")</f>
        <v>LIQUIDADO</v>
      </c>
      <c r="AO68" s="972">
        <f>IFERROR(VLOOKUP(E68,'liquidaciones '!$B$2:$I$1048576,8,0),"")</f>
        <v>0</v>
      </c>
      <c r="AP68" s="337"/>
      <c r="AQ68" s="177" t="str">
        <f t="shared" ca="1" si="11"/>
        <v>NO</v>
      </c>
      <c r="AR68" s="177" t="s">
        <v>1574</v>
      </c>
      <c r="AS68" s="435"/>
      <c r="AT68" s="992"/>
    </row>
    <row r="69" spans="1:46" ht="47.25" customHeight="1" x14ac:dyDescent="0.25">
      <c r="A69" s="15">
        <v>1</v>
      </c>
      <c r="B69" s="15">
        <v>63</v>
      </c>
      <c r="C69" s="439"/>
      <c r="D69" s="439" t="str">
        <f t="shared" si="0"/>
        <v>2012</v>
      </c>
      <c r="E69" s="142" t="s">
        <v>119</v>
      </c>
      <c r="F69" s="132" t="s">
        <v>398</v>
      </c>
      <c r="G69" s="143">
        <v>830043839</v>
      </c>
      <c r="H69" s="1024" t="s">
        <v>352</v>
      </c>
      <c r="I69" s="134">
        <v>4056000</v>
      </c>
      <c r="J69" s="876" t="s">
        <v>4087</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2" t="str">
        <f>IFERROR(VLOOKUP(E69,'liquidaciones '!$B$2:$C$1048576,2,0),"NO")</f>
        <v>LIQUIDADO</v>
      </c>
      <c r="AO69" s="972">
        <f>IFERROR(VLOOKUP(E69,'liquidaciones '!$B$2:$I$1048576,8,0),"")</f>
        <v>0</v>
      </c>
      <c r="AP69" s="337">
        <v>42303</v>
      </c>
      <c r="AQ69" s="177" t="str">
        <f t="shared" ca="1" si="11"/>
        <v>NO</v>
      </c>
      <c r="AR69" s="177" t="s">
        <v>1574</v>
      </c>
      <c r="AS69" s="435"/>
      <c r="AT69" s="992"/>
    </row>
    <row r="70" spans="1:46" ht="47.25" customHeight="1" x14ac:dyDescent="0.25">
      <c r="A70" s="15">
        <v>1</v>
      </c>
      <c r="B70" s="15">
        <v>64</v>
      </c>
      <c r="C70" s="439"/>
      <c r="D70" s="439" t="str">
        <f t="shared" si="0"/>
        <v>2012</v>
      </c>
      <c r="E70" s="145" t="s">
        <v>51</v>
      </c>
      <c r="F70" s="132" t="s">
        <v>1023</v>
      </c>
      <c r="G70" s="143">
        <v>900431177</v>
      </c>
      <c r="H70" s="1025"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2" t="str">
        <f>IFERROR(VLOOKUP(E70,'liquidaciones '!$B$2:$C$1048576,2,0),"NO")</f>
        <v>NO</v>
      </c>
      <c r="AO70" s="972" t="str">
        <f>IFERROR(VLOOKUP(E70,'liquidaciones '!$B$2:$I$1048576,8,0),"")</f>
        <v/>
      </c>
      <c r="AP70" s="337"/>
      <c r="AQ70" s="177" t="str">
        <f t="shared" ca="1" si="11"/>
        <v>NO</v>
      </c>
      <c r="AR70" s="177" t="s">
        <v>1574</v>
      </c>
      <c r="AS70" s="435"/>
      <c r="AT70" s="992"/>
    </row>
    <row r="71" spans="1:46" ht="47.25" customHeight="1" x14ac:dyDescent="0.25">
      <c r="A71" s="15">
        <v>1</v>
      </c>
      <c r="B71" s="15">
        <v>65</v>
      </c>
      <c r="C71" s="439"/>
      <c r="D71" s="439" t="str">
        <f t="shared" ref="D71:D134" si="13">K71&amp;C71</f>
        <v>2012</v>
      </c>
      <c r="E71" s="132" t="s">
        <v>597</v>
      </c>
      <c r="F71" s="132" t="s">
        <v>1024</v>
      </c>
      <c r="G71" s="143">
        <v>860066942</v>
      </c>
      <c r="H71" s="1024"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2" t="str">
        <f>IFERROR(VLOOKUP(E71,'liquidaciones '!$B$2:$C$1048576,2,0),"NO")</f>
        <v>LIQUIDADO</v>
      </c>
      <c r="AO71" s="972">
        <f>IFERROR(VLOOKUP(E71,'liquidaciones '!$B$2:$I$1048576,8,0),"")</f>
        <v>0</v>
      </c>
      <c r="AP71" s="337">
        <v>42017</v>
      </c>
      <c r="AQ71" s="177" t="str">
        <f t="shared" ca="1" si="11"/>
        <v>NO</v>
      </c>
      <c r="AR71" s="177" t="s">
        <v>1574</v>
      </c>
      <c r="AS71" s="435"/>
      <c r="AT71" s="992"/>
    </row>
    <row r="72" spans="1:46" ht="47.25" customHeight="1" x14ac:dyDescent="0.25">
      <c r="A72" s="15">
        <v>3</v>
      </c>
      <c r="B72" s="15">
        <v>66</v>
      </c>
      <c r="C72" s="439"/>
      <c r="D72" s="439" t="str">
        <f t="shared" si="13"/>
        <v>2012</v>
      </c>
      <c r="E72" s="132" t="s">
        <v>598</v>
      </c>
      <c r="F72" s="132" t="s">
        <v>1025</v>
      </c>
      <c r="G72" s="143">
        <v>80199707</v>
      </c>
      <c r="H72" s="1024"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2" t="str">
        <f>IFERROR(VLOOKUP(E72,'liquidaciones '!$B$2:$C$1048576,2,0),"NO")</f>
        <v>NO</v>
      </c>
      <c r="AO72" s="972" t="str">
        <f>IFERROR(VLOOKUP(E72,'liquidaciones '!$B$2:$I$1048576,8,0),"")</f>
        <v/>
      </c>
      <c r="AP72" s="337">
        <v>42234</v>
      </c>
      <c r="AQ72" s="177" t="str">
        <f t="shared" ca="1" si="11"/>
        <v>NO</v>
      </c>
      <c r="AR72" s="177" t="s">
        <v>1574</v>
      </c>
      <c r="AS72" s="435"/>
      <c r="AT72" s="992"/>
    </row>
    <row r="73" spans="1:46" ht="47.25" customHeight="1" x14ac:dyDescent="0.25">
      <c r="A73" s="15">
        <v>1</v>
      </c>
      <c r="B73" s="15">
        <v>67</v>
      </c>
      <c r="C73" s="439"/>
      <c r="D73" s="439" t="str">
        <f t="shared" si="13"/>
        <v>2012</v>
      </c>
      <c r="E73" s="145" t="s">
        <v>42</v>
      </c>
      <c r="F73" s="145" t="s">
        <v>43</v>
      </c>
      <c r="G73" s="143">
        <v>830100153</v>
      </c>
      <c r="H73" s="1025"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2" t="str">
        <f>IFERROR(VLOOKUP(E73,'liquidaciones '!$B$2:$C$1048576,2,0),"NO")</f>
        <v>LIQUIDADO</v>
      </c>
      <c r="AO73" s="972">
        <f>IFERROR(VLOOKUP(E73,'liquidaciones '!$B$2:$I$1048576,8,0),"")</f>
        <v>0</v>
      </c>
      <c r="AP73" s="337">
        <v>42107</v>
      </c>
      <c r="AQ73" s="177" t="str">
        <f t="shared" ca="1" si="11"/>
        <v>NO</v>
      </c>
      <c r="AR73" s="177" t="s">
        <v>1574</v>
      </c>
      <c r="AS73" s="435"/>
      <c r="AT73" s="992"/>
    </row>
    <row r="74" spans="1:46" ht="47.25" customHeight="1" x14ac:dyDescent="0.25">
      <c r="A74" s="15">
        <v>1</v>
      </c>
      <c r="B74" s="15">
        <v>68</v>
      </c>
      <c r="C74" s="439"/>
      <c r="D74" s="439" t="str">
        <f t="shared" si="13"/>
        <v>2012</v>
      </c>
      <c r="E74" s="145" t="s">
        <v>599</v>
      </c>
      <c r="F74" s="145" t="s">
        <v>1026</v>
      </c>
      <c r="G74" s="143">
        <v>860030197</v>
      </c>
      <c r="H74" s="1025" t="s">
        <v>461</v>
      </c>
      <c r="I74" s="146">
        <v>6388708</v>
      </c>
      <c r="J74" s="876" t="s">
        <v>4090</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2" t="str">
        <f>IFERROR(VLOOKUP(E74,'liquidaciones '!$B$2:$C$1048576,2,0),"NO")</f>
        <v>LIQUIDADO</v>
      </c>
      <c r="AO74" s="972">
        <f>IFERROR(VLOOKUP(E74,'liquidaciones '!$B$2:$I$1048576,8,0),"")</f>
        <v>0</v>
      </c>
      <c r="AP74" s="337">
        <v>42278</v>
      </c>
      <c r="AQ74" s="177" t="str">
        <f t="shared" ca="1" si="11"/>
        <v>NO</v>
      </c>
      <c r="AR74" s="177" t="s">
        <v>1574</v>
      </c>
      <c r="AS74" s="435"/>
      <c r="AT74" s="992"/>
    </row>
    <row r="75" spans="1:46" ht="47.25" customHeight="1" x14ac:dyDescent="0.25">
      <c r="A75" s="15">
        <v>1</v>
      </c>
      <c r="B75" s="15">
        <v>69</v>
      </c>
      <c r="C75" s="439"/>
      <c r="D75" s="439" t="str">
        <f t="shared" si="13"/>
        <v>2012</v>
      </c>
      <c r="E75" s="132" t="s">
        <v>67</v>
      </c>
      <c r="F75" s="132" t="s">
        <v>68</v>
      </c>
      <c r="G75" s="143">
        <v>860007336</v>
      </c>
      <c r="H75" s="1024"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2" t="str">
        <f>IFERROR(VLOOKUP(E75,'liquidaciones '!$B$2:$C$1048576,2,0),"NO")</f>
        <v>LIQUIDADO</v>
      </c>
      <c r="AO75" s="972">
        <f>IFERROR(VLOOKUP(E75,'liquidaciones '!$B$2:$I$1048576,8,0),"")</f>
        <v>0</v>
      </c>
      <c r="AP75" s="337">
        <v>42121</v>
      </c>
      <c r="AQ75" s="177" t="str">
        <f t="shared" ca="1" si="11"/>
        <v>NO</v>
      </c>
      <c r="AR75" s="177" t="s">
        <v>1574</v>
      </c>
      <c r="AS75" s="435"/>
      <c r="AT75" s="992"/>
    </row>
    <row r="76" spans="1:46" ht="47.25" customHeight="1" x14ac:dyDescent="0.25">
      <c r="A76" s="15">
        <v>1</v>
      </c>
      <c r="B76" s="15">
        <v>70</v>
      </c>
      <c r="C76" s="439"/>
      <c r="D76" s="439" t="str">
        <f t="shared" si="13"/>
        <v>2012</v>
      </c>
      <c r="E76" s="145" t="s">
        <v>74</v>
      </c>
      <c r="F76" s="145" t="s">
        <v>75</v>
      </c>
      <c r="G76" s="143">
        <v>800045878</v>
      </c>
      <c r="H76" s="1025"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2" t="str">
        <f>IFERROR(VLOOKUP(E76,'liquidaciones '!$B$2:$C$1048576,2,0),"NO")</f>
        <v>NO</v>
      </c>
      <c r="AO76" s="972" t="str">
        <f>IFERROR(VLOOKUP(E76,'liquidaciones '!$B$2:$I$1048576,8,0),"")</f>
        <v/>
      </c>
      <c r="AP76" s="337"/>
      <c r="AQ76" s="177" t="str">
        <f t="shared" ca="1" si="11"/>
        <v>NO</v>
      </c>
      <c r="AR76" s="177" t="s">
        <v>1574</v>
      </c>
      <c r="AS76" s="435"/>
      <c r="AT76" s="992"/>
    </row>
    <row r="77" spans="1:46" ht="47.25" customHeight="1" x14ac:dyDescent="0.25">
      <c r="A77" s="15">
        <v>1</v>
      </c>
      <c r="B77" s="15">
        <v>71</v>
      </c>
      <c r="C77" s="439"/>
      <c r="D77" s="439" t="str">
        <f t="shared" si="13"/>
        <v>2012</v>
      </c>
      <c r="E77" s="132" t="s">
        <v>54</v>
      </c>
      <c r="F77" s="132" t="s">
        <v>55</v>
      </c>
      <c r="G77" s="143">
        <v>830050320</v>
      </c>
      <c r="H77" s="1024" t="s">
        <v>334</v>
      </c>
      <c r="I77" s="134">
        <v>10032000</v>
      </c>
      <c r="J77" s="134" t="s">
        <v>2259</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2" t="str">
        <f>IFERROR(VLOOKUP(E77,'liquidaciones '!$B$2:$C$1048576,2,0),"NO")</f>
        <v>LIQUIDADO</v>
      </c>
      <c r="AO77" s="972">
        <f>IFERROR(VLOOKUP(E77,'liquidaciones '!$B$2:$I$1048576,8,0),"")</f>
        <v>0</v>
      </c>
      <c r="AP77" s="337">
        <v>42321</v>
      </c>
      <c r="AQ77" s="177" t="str">
        <f t="shared" ca="1" si="11"/>
        <v>NO</v>
      </c>
      <c r="AR77" s="177" t="s">
        <v>1574</v>
      </c>
      <c r="AS77" s="435"/>
      <c r="AT77" s="992"/>
    </row>
    <row r="78" spans="1:46" ht="47.25" customHeight="1" x14ac:dyDescent="0.25">
      <c r="A78" s="15">
        <v>1</v>
      </c>
      <c r="B78" s="15">
        <v>72</v>
      </c>
      <c r="C78" s="439"/>
      <c r="D78" s="439" t="str">
        <f t="shared" si="13"/>
        <v>2012</v>
      </c>
      <c r="E78" s="132" t="s">
        <v>11</v>
      </c>
      <c r="F78" s="132" t="s">
        <v>12</v>
      </c>
      <c r="G78" s="143">
        <v>805006014</v>
      </c>
      <c r="H78" s="1024"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2" t="str">
        <f>IFERROR(VLOOKUP(E78,'liquidaciones '!$B$2:$C$1048576,2,0),"NO")</f>
        <v>NO</v>
      </c>
      <c r="AO78" s="972" t="str">
        <f>IFERROR(VLOOKUP(E78,'liquidaciones '!$B$2:$I$1048576,8,0),"")</f>
        <v/>
      </c>
      <c r="AP78" s="337"/>
      <c r="AQ78" s="177" t="str">
        <f t="shared" ca="1" si="11"/>
        <v>NO</v>
      </c>
      <c r="AR78" s="177" t="s">
        <v>1574</v>
      </c>
      <c r="AS78" s="435"/>
      <c r="AT78" s="992"/>
    </row>
    <row r="79" spans="1:46" ht="65.25" customHeight="1" x14ac:dyDescent="0.25">
      <c r="B79" s="15">
        <v>73</v>
      </c>
      <c r="C79" s="439"/>
      <c r="D79" s="439" t="str">
        <f t="shared" si="13"/>
        <v>2013</v>
      </c>
      <c r="E79" s="139" t="s">
        <v>309</v>
      </c>
      <c r="F79" s="132" t="s">
        <v>77</v>
      </c>
      <c r="G79" s="133">
        <v>860506170</v>
      </c>
      <c r="H79" s="1024"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2" t="str">
        <f>IFERROR(VLOOKUP(E79,'liquidaciones '!$B$2:$C$1048576,2,0),"NO")</f>
        <v>EN TRÁMITE</v>
      </c>
      <c r="AO79" s="972" t="str">
        <f>IFERROR(VLOOKUP(E79,'liquidaciones '!$B$2:$I$1048576,8,0),"")</f>
        <v>MANUEL ROJAS</v>
      </c>
      <c r="AP79" s="337"/>
      <c r="AQ79" s="177" t="str">
        <f t="shared" ref="AQ79:AQ142" ca="1" si="23">IF((TODAY()-T79&lt;900),"SI","NO")</f>
        <v>NO</v>
      </c>
      <c r="AR79" s="177" t="s">
        <v>1574</v>
      </c>
      <c r="AS79" s="435"/>
      <c r="AT79" s="992"/>
    </row>
    <row r="80" spans="1:46" ht="47.25" customHeight="1" x14ac:dyDescent="0.25">
      <c r="A80" s="15">
        <v>1</v>
      </c>
      <c r="B80" s="15">
        <v>74</v>
      </c>
      <c r="C80" s="439"/>
      <c r="D80" s="439" t="str">
        <f t="shared" si="13"/>
        <v>2012</v>
      </c>
      <c r="E80" s="132" t="s">
        <v>45</v>
      </c>
      <c r="F80" s="132" t="s">
        <v>46</v>
      </c>
      <c r="G80" s="143">
        <v>900006611</v>
      </c>
      <c r="H80" s="1024" t="s">
        <v>330</v>
      </c>
      <c r="I80" s="134">
        <v>1062500</v>
      </c>
      <c r="J80" s="134" t="s">
        <v>1088</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2" t="str">
        <f>IFERROR(VLOOKUP(E80,'liquidaciones '!$B$2:$C$1048576,2,0),"NO")</f>
        <v>NO</v>
      </c>
      <c r="AO80" s="972" t="str">
        <f>IFERROR(VLOOKUP(E80,'liquidaciones '!$B$2:$I$1048576,8,0),"")</f>
        <v/>
      </c>
      <c r="AP80" s="335"/>
      <c r="AQ80" s="177" t="str">
        <f t="shared" ca="1" si="23"/>
        <v>NO</v>
      </c>
      <c r="AR80" s="177" t="s">
        <v>1574</v>
      </c>
      <c r="AS80" s="435"/>
      <c r="AT80" s="992"/>
    </row>
    <row r="81" spans="1:46" ht="69" customHeight="1" x14ac:dyDescent="0.25">
      <c r="A81" s="15">
        <v>2</v>
      </c>
      <c r="B81" s="15">
        <v>75</v>
      </c>
      <c r="C81" s="439"/>
      <c r="D81" s="439" t="str">
        <f t="shared" si="13"/>
        <v>2012</v>
      </c>
      <c r="E81" s="132" t="s">
        <v>25</v>
      </c>
      <c r="F81" s="132" t="s">
        <v>26</v>
      </c>
      <c r="G81" s="143">
        <v>830039811</v>
      </c>
      <c r="H81" s="1026"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2" t="str">
        <f>IFERROR(VLOOKUP(E81,'liquidaciones '!$B$2:$C$1048576,2,0),"NO")</f>
        <v>NO</v>
      </c>
      <c r="AO81" s="972" t="str">
        <f>IFERROR(VLOOKUP(E81,'liquidaciones '!$B$2:$I$1048576,8,0),"")</f>
        <v/>
      </c>
      <c r="AP81" s="337">
        <v>42236</v>
      </c>
      <c r="AQ81" s="177" t="str">
        <f t="shared" ca="1" si="23"/>
        <v>NO</v>
      </c>
      <c r="AR81" s="177" t="s">
        <v>1574</v>
      </c>
      <c r="AS81" s="435"/>
      <c r="AT81" s="992"/>
    </row>
    <row r="82" spans="1:46" ht="47.25" customHeight="1" x14ac:dyDescent="0.25">
      <c r="A82" s="15">
        <v>3</v>
      </c>
      <c r="B82" s="15">
        <v>76</v>
      </c>
      <c r="C82" s="439"/>
      <c r="D82" s="439" t="str">
        <f t="shared" si="13"/>
        <v>2012</v>
      </c>
      <c r="E82" s="145" t="s">
        <v>52</v>
      </c>
      <c r="F82" s="145" t="s">
        <v>53</v>
      </c>
      <c r="G82" s="153">
        <v>4831</v>
      </c>
      <c r="H82" s="1025"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2" t="str">
        <f>IFERROR(VLOOKUP(E82,'liquidaciones '!$B$2:$C$1048576,2,0),"NO")</f>
        <v>LIQUIDADO</v>
      </c>
      <c r="AO82" s="972">
        <f>IFERROR(VLOOKUP(E82,'liquidaciones '!$B$2:$I$1048576,8,0),"")</f>
        <v>0</v>
      </c>
      <c r="AP82" s="337">
        <v>42004</v>
      </c>
      <c r="AQ82" s="177" t="str">
        <f t="shared" ca="1" si="23"/>
        <v>NO</v>
      </c>
      <c r="AR82" s="177" t="s">
        <v>1574</v>
      </c>
      <c r="AS82" s="435"/>
      <c r="AT82" s="992"/>
    </row>
    <row r="83" spans="1:46" ht="47.25" customHeight="1" x14ac:dyDescent="0.25">
      <c r="A83" s="15">
        <v>1</v>
      </c>
      <c r="B83" s="15">
        <v>77</v>
      </c>
      <c r="C83" s="439"/>
      <c r="D83" s="439" t="str">
        <f t="shared" si="13"/>
        <v>2012</v>
      </c>
      <c r="E83" s="132" t="s">
        <v>4</v>
      </c>
      <c r="F83" s="132" t="s">
        <v>1028</v>
      </c>
      <c r="G83" s="133">
        <v>860053274</v>
      </c>
      <c r="H83" s="1024"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2" t="str">
        <f>IFERROR(VLOOKUP(E83,'liquidaciones '!$B$2:$C$1048576,2,0),"NO")</f>
        <v>LIQUIDADO</v>
      </c>
      <c r="AO83" s="972">
        <f>IFERROR(VLOOKUP(E83,'liquidaciones '!$B$2:$I$1048576,8,0),"")</f>
        <v>0</v>
      </c>
      <c r="AP83" s="337">
        <v>42023</v>
      </c>
      <c r="AQ83" s="177" t="str">
        <f t="shared" ca="1" si="23"/>
        <v>NO</v>
      </c>
      <c r="AR83" s="177" t="s">
        <v>1574</v>
      </c>
      <c r="AS83" s="435"/>
      <c r="AT83" s="992"/>
    </row>
    <row r="84" spans="1:46" ht="47.25" customHeight="1" x14ac:dyDescent="0.25">
      <c r="A84" s="15">
        <v>1</v>
      </c>
      <c r="B84" s="15">
        <v>78</v>
      </c>
      <c r="C84" s="439"/>
      <c r="D84" s="439" t="str">
        <f t="shared" si="13"/>
        <v>2012</v>
      </c>
      <c r="E84" s="145" t="s">
        <v>71</v>
      </c>
      <c r="F84" s="145" t="s">
        <v>1029</v>
      </c>
      <c r="G84" s="143">
        <v>860066942</v>
      </c>
      <c r="H84" s="1025"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2" t="str">
        <f>IFERROR(VLOOKUP(E84,'liquidaciones '!$B$2:$C$1048576,2,0),"NO")</f>
        <v>LIQUIDADO</v>
      </c>
      <c r="AO84" s="972">
        <f>IFERROR(VLOOKUP(E84,'liquidaciones '!$B$2:$I$1048576,8,0),"")</f>
        <v>0</v>
      </c>
      <c r="AP84" s="337">
        <v>42150</v>
      </c>
      <c r="AQ84" s="177" t="str">
        <f t="shared" ca="1" si="23"/>
        <v>NO</v>
      </c>
      <c r="AR84" s="177" t="s">
        <v>1574</v>
      </c>
      <c r="AS84" s="435"/>
      <c r="AT84" s="992"/>
    </row>
    <row r="85" spans="1:46" ht="47.25" customHeight="1" x14ac:dyDescent="0.25">
      <c r="A85" s="15">
        <v>2</v>
      </c>
      <c r="B85" s="15">
        <v>79</v>
      </c>
      <c r="C85" s="439"/>
      <c r="D85" s="439" t="str">
        <f t="shared" si="13"/>
        <v>2012</v>
      </c>
      <c r="E85" s="142" t="s">
        <v>116</v>
      </c>
      <c r="F85" s="132" t="s">
        <v>418</v>
      </c>
      <c r="G85" s="143">
        <v>891501783</v>
      </c>
      <c r="H85" s="1024" t="s">
        <v>350</v>
      </c>
      <c r="I85" s="134">
        <v>36990000</v>
      </c>
      <c r="J85" s="876" t="s">
        <v>4095</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2" t="str">
        <f>IFERROR(VLOOKUP(E85,'liquidaciones '!$B$2:$C$1048576,2,0),"NO")</f>
        <v>LIQUIDADO</v>
      </c>
      <c r="AO85" s="972">
        <f>IFERROR(VLOOKUP(E85,'liquidaciones '!$B$2:$I$1048576,8,0),"")</f>
        <v>0</v>
      </c>
      <c r="AP85" s="337">
        <v>42249</v>
      </c>
      <c r="AQ85" s="177" t="str">
        <f t="shared" ca="1" si="23"/>
        <v>NO</v>
      </c>
      <c r="AR85" s="177" t="s">
        <v>1574</v>
      </c>
      <c r="AS85" s="435"/>
      <c r="AT85" s="992"/>
    </row>
    <row r="86" spans="1:46" ht="47.25" customHeight="1" x14ac:dyDescent="0.25">
      <c r="A86" s="15">
        <v>1</v>
      </c>
      <c r="B86" s="15">
        <v>80</v>
      </c>
      <c r="C86" s="439"/>
      <c r="D86" s="439" t="str">
        <f t="shared" si="13"/>
        <v>2012</v>
      </c>
      <c r="E86" s="142" t="s">
        <v>122</v>
      </c>
      <c r="F86" s="132" t="s">
        <v>244</v>
      </c>
      <c r="G86" s="143">
        <v>800058607</v>
      </c>
      <c r="H86" s="1024"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2" t="str">
        <f>IFERROR(VLOOKUP(E86,'liquidaciones '!$B$2:$C$1048576,2,0),"NO")</f>
        <v>NO</v>
      </c>
      <c r="AO86" s="972" t="str">
        <f>IFERROR(VLOOKUP(E86,'liquidaciones '!$B$2:$I$1048576,8,0),"")</f>
        <v/>
      </c>
      <c r="AP86" s="337"/>
      <c r="AQ86" s="177" t="str">
        <f t="shared" ca="1" si="23"/>
        <v>NO</v>
      </c>
      <c r="AR86" s="177" t="s">
        <v>1574</v>
      </c>
      <c r="AS86" s="435"/>
      <c r="AT86" s="992"/>
    </row>
    <row r="87" spans="1:46" ht="47.25" customHeight="1" x14ac:dyDescent="0.25">
      <c r="A87" s="15">
        <v>4</v>
      </c>
      <c r="B87" s="15">
        <v>81</v>
      </c>
      <c r="C87" s="439"/>
      <c r="D87" s="439" t="str">
        <f t="shared" si="13"/>
        <v>2013</v>
      </c>
      <c r="E87" s="132" t="s">
        <v>78</v>
      </c>
      <c r="F87" s="132" t="s">
        <v>79</v>
      </c>
      <c r="G87" s="143">
        <v>830017209</v>
      </c>
      <c r="H87" s="1024" t="s">
        <v>340</v>
      </c>
      <c r="I87" s="134">
        <v>123000000</v>
      </c>
      <c r="J87" s="876" t="s">
        <v>4060</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2" t="str">
        <f>IFERROR(VLOOKUP(E87,'liquidaciones '!$B$2:$C$1048576,2,0),"NO")</f>
        <v>EN TRÁMITE</v>
      </c>
      <c r="AO87" s="972">
        <f>IFERROR(VLOOKUP(E87,'liquidaciones '!$B$2:$I$1048576,8,0),"")</f>
        <v>0</v>
      </c>
      <c r="AP87" s="337"/>
      <c r="AQ87" s="177" t="str">
        <f t="shared" ca="1" si="23"/>
        <v>NO</v>
      </c>
      <c r="AR87" s="177" t="s">
        <v>1574</v>
      </c>
      <c r="AS87" s="435"/>
      <c r="AT87" s="992"/>
    </row>
    <row r="88" spans="1:46" ht="47.25" customHeight="1" x14ac:dyDescent="0.25">
      <c r="A88" s="15">
        <v>4</v>
      </c>
      <c r="B88" s="15">
        <v>82</v>
      </c>
      <c r="C88" s="439"/>
      <c r="D88" s="439" t="str">
        <f t="shared" si="13"/>
        <v>2013</v>
      </c>
      <c r="E88" s="132" t="s">
        <v>80</v>
      </c>
      <c r="F88" s="132" t="s">
        <v>81</v>
      </c>
      <c r="G88" s="143">
        <v>900241832</v>
      </c>
      <c r="H88" s="1024" t="s">
        <v>1073</v>
      </c>
      <c r="I88" s="134">
        <v>1113600</v>
      </c>
      <c r="J88" s="134" t="s">
        <v>1088</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2" t="str">
        <f>IFERROR(VLOOKUP(E88,'liquidaciones '!$B$2:$C$1048576,2,0),"NO")</f>
        <v>LIQUIDADO</v>
      </c>
      <c r="AO88" s="972">
        <f>IFERROR(VLOOKUP(E88,'liquidaciones '!$B$2:$I$1048576,8,0),"")</f>
        <v>0</v>
      </c>
      <c r="AP88" s="337">
        <v>41999</v>
      </c>
      <c r="AQ88" s="177" t="str">
        <f t="shared" ca="1" si="23"/>
        <v>NO</v>
      </c>
      <c r="AR88" s="177" t="s">
        <v>1574</v>
      </c>
      <c r="AS88" s="435"/>
      <c r="AT88" s="992"/>
    </row>
    <row r="89" spans="1:46" ht="47.25" customHeight="1" x14ac:dyDescent="0.25">
      <c r="A89" s="15">
        <v>4</v>
      </c>
      <c r="B89" s="15">
        <v>83</v>
      </c>
      <c r="C89" s="439"/>
      <c r="D89" s="439" t="str">
        <f t="shared" si="13"/>
        <v>2013</v>
      </c>
      <c r="E89" s="132" t="s">
        <v>82</v>
      </c>
      <c r="F89" s="132" t="s">
        <v>1030</v>
      </c>
      <c r="G89" s="133">
        <v>830122370</v>
      </c>
      <c r="H89" s="1024" t="s">
        <v>463</v>
      </c>
      <c r="I89" s="134">
        <v>4967474</v>
      </c>
      <c r="J89" s="134" t="s">
        <v>2260</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2" t="str">
        <f>IFERROR(VLOOKUP(E89,'liquidaciones '!$B$2:$C$1048576,2,0),"NO")</f>
        <v>LIQUIDADO</v>
      </c>
      <c r="AO89" s="972">
        <f>IFERROR(VLOOKUP(E89,'liquidaciones '!$B$2:$I$1048576,8,0),"")</f>
        <v>0</v>
      </c>
      <c r="AP89" s="337">
        <v>42321</v>
      </c>
      <c r="AQ89" s="177" t="str">
        <f t="shared" ca="1" si="23"/>
        <v>NO</v>
      </c>
      <c r="AR89" s="177" t="s">
        <v>1574</v>
      </c>
      <c r="AS89" s="435"/>
      <c r="AT89" s="992"/>
    </row>
    <row r="90" spans="1:46" ht="47.25" customHeight="1" x14ac:dyDescent="0.25">
      <c r="A90" s="15">
        <v>4</v>
      </c>
      <c r="B90" s="15">
        <v>84</v>
      </c>
      <c r="C90" s="439"/>
      <c r="D90" s="439" t="str">
        <f t="shared" si="13"/>
        <v>2013</v>
      </c>
      <c r="E90" s="132" t="s">
        <v>83</v>
      </c>
      <c r="F90" s="132" t="s">
        <v>84</v>
      </c>
      <c r="G90" s="133">
        <v>860025639</v>
      </c>
      <c r="H90" s="1024"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2" t="str">
        <f>IFERROR(VLOOKUP(E90,'liquidaciones '!$B$2:$C$1048576,2,0),"NO")</f>
        <v>LIQUIDADO</v>
      </c>
      <c r="AO90" s="972">
        <f>IFERROR(VLOOKUP(E90,'liquidaciones '!$B$2:$I$1048576,8,0),"")</f>
        <v>0</v>
      </c>
      <c r="AP90" s="337"/>
      <c r="AQ90" s="177" t="str">
        <f t="shared" ca="1" si="23"/>
        <v>NO</v>
      </c>
      <c r="AR90" s="177" t="s">
        <v>1574</v>
      </c>
      <c r="AS90" s="435"/>
      <c r="AT90" s="992"/>
    </row>
    <row r="91" spans="1:46" ht="47.25" customHeight="1" x14ac:dyDescent="0.25">
      <c r="A91" s="15">
        <v>4</v>
      </c>
      <c r="B91" s="15">
        <v>85</v>
      </c>
      <c r="C91" s="439"/>
      <c r="D91" s="439" t="str">
        <f t="shared" si="13"/>
        <v>2013</v>
      </c>
      <c r="E91" s="132" t="s">
        <v>85</v>
      </c>
      <c r="F91" s="132" t="s">
        <v>86</v>
      </c>
      <c r="G91" s="143">
        <v>860001022</v>
      </c>
      <c r="H91" s="1024"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2" t="str">
        <f>IFERROR(VLOOKUP(E91,'liquidaciones '!$B$2:$C$1048576,2,0),"NO")</f>
        <v>EN TRÁMITE</v>
      </c>
      <c r="AO91" s="972">
        <f>IFERROR(VLOOKUP(E91,'liquidaciones '!$B$2:$I$1048576,8,0),"")</f>
        <v>0</v>
      </c>
      <c r="AP91" s="337"/>
      <c r="AQ91" s="177" t="str">
        <f t="shared" ca="1" si="23"/>
        <v>NO</v>
      </c>
      <c r="AR91" s="177" t="s">
        <v>1574</v>
      </c>
      <c r="AS91" s="435"/>
      <c r="AT91" s="992"/>
    </row>
    <row r="92" spans="1:46" ht="47.25" customHeight="1" x14ac:dyDescent="0.25">
      <c r="A92" s="15">
        <v>4</v>
      </c>
      <c r="B92" s="15">
        <v>86</v>
      </c>
      <c r="C92" s="439"/>
      <c r="D92" s="439" t="str">
        <f t="shared" si="13"/>
        <v>2013</v>
      </c>
      <c r="E92" s="132" t="s">
        <v>87</v>
      </c>
      <c r="F92" s="132" t="s">
        <v>435</v>
      </c>
      <c r="G92" s="143">
        <v>900152368</v>
      </c>
      <c r="H92" s="1024"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2" t="str">
        <f>IFERROR(VLOOKUP(E92,'liquidaciones '!$B$2:$C$1048576,2,0),"NO")</f>
        <v>LIQUIDADO</v>
      </c>
      <c r="AO92" s="972">
        <f>IFERROR(VLOOKUP(E92,'liquidaciones '!$B$2:$I$1048576,8,0),"")</f>
        <v>0</v>
      </c>
      <c r="AP92" s="337">
        <v>42017</v>
      </c>
      <c r="AQ92" s="177" t="str">
        <f t="shared" ca="1" si="23"/>
        <v>NO</v>
      </c>
      <c r="AR92" s="177" t="s">
        <v>1574</v>
      </c>
      <c r="AS92" s="435"/>
      <c r="AT92" s="992"/>
    </row>
    <row r="93" spans="1:46" ht="47.25" customHeight="1" x14ac:dyDescent="0.25">
      <c r="A93" s="15">
        <v>4</v>
      </c>
      <c r="B93" s="15">
        <v>87</v>
      </c>
      <c r="C93" s="439"/>
      <c r="D93" s="439" t="str">
        <f t="shared" si="13"/>
        <v>2013</v>
      </c>
      <c r="E93" s="132" t="s">
        <v>88</v>
      </c>
      <c r="F93" s="132" t="s">
        <v>1031</v>
      </c>
      <c r="G93" s="133">
        <v>800249557</v>
      </c>
      <c r="H93" s="1024"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2" t="str">
        <f>IFERROR(VLOOKUP(E93,'liquidaciones '!$B$2:$C$1048576,2,0),"NO")</f>
        <v>LIQUIDADO</v>
      </c>
      <c r="AO93" s="972">
        <f>IFERROR(VLOOKUP(E93,'liquidaciones '!$B$2:$I$1048576,8,0),"")</f>
        <v>0</v>
      </c>
      <c r="AP93" s="337">
        <v>41950</v>
      </c>
      <c r="AQ93" s="177" t="str">
        <f t="shared" ca="1" si="23"/>
        <v>NO</v>
      </c>
      <c r="AR93" s="177" t="s">
        <v>1574</v>
      </c>
      <c r="AS93" s="435"/>
      <c r="AT93" s="992"/>
    </row>
    <row r="94" spans="1:46" ht="63.75" customHeight="1" x14ac:dyDescent="0.25">
      <c r="A94" s="15">
        <v>4</v>
      </c>
      <c r="B94" s="15">
        <v>88</v>
      </c>
      <c r="C94" s="439"/>
      <c r="D94" s="439" t="str">
        <f t="shared" si="13"/>
        <v>2013</v>
      </c>
      <c r="E94" s="132" t="s">
        <v>91</v>
      </c>
      <c r="F94" s="132" t="s">
        <v>1032</v>
      </c>
      <c r="G94" s="133">
        <v>79843891</v>
      </c>
      <c r="H94" s="1024" t="s">
        <v>464</v>
      </c>
      <c r="I94" s="134">
        <v>50000000</v>
      </c>
      <c r="J94" s="876" t="s">
        <v>4061</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2" t="str">
        <f>IFERROR(VLOOKUP(E94,'liquidaciones '!$B$2:$C$1048576,2,0),"NO")</f>
        <v>NO</v>
      </c>
      <c r="AO94" s="972" t="str">
        <f>IFERROR(VLOOKUP(E94,'liquidaciones '!$B$2:$I$1048576,8,0),"")</f>
        <v/>
      </c>
      <c r="AP94" s="335">
        <v>41702</v>
      </c>
      <c r="AQ94" s="177" t="str">
        <f t="shared" ca="1" si="23"/>
        <v>NO</v>
      </c>
      <c r="AR94" s="177" t="s">
        <v>1574</v>
      </c>
      <c r="AS94" s="435"/>
      <c r="AT94" s="992"/>
    </row>
    <row r="95" spans="1:46" ht="47.25" customHeight="1" x14ac:dyDescent="0.25">
      <c r="A95" s="15">
        <v>4</v>
      </c>
      <c r="B95" s="15">
        <v>89</v>
      </c>
      <c r="C95" s="439"/>
      <c r="D95" s="439" t="str">
        <f t="shared" si="13"/>
        <v>2013</v>
      </c>
      <c r="E95" s="132" t="s">
        <v>93</v>
      </c>
      <c r="F95" s="132" t="s">
        <v>1033</v>
      </c>
      <c r="G95" s="133">
        <v>51931422</v>
      </c>
      <c r="H95" s="1024" t="s">
        <v>343</v>
      </c>
      <c r="I95" s="134">
        <v>41600000</v>
      </c>
      <c r="J95" s="134" t="s">
        <v>1088</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2" t="str">
        <f>IFERROR(VLOOKUP(E95,'liquidaciones '!$B$2:$C$1048576,2,0),"NO")</f>
        <v>NO</v>
      </c>
      <c r="AO95" s="972" t="str">
        <f>IFERROR(VLOOKUP(E95,'liquidaciones '!$B$2:$I$1048576,8,0),"")</f>
        <v/>
      </c>
      <c r="AP95" s="335">
        <v>41845</v>
      </c>
      <c r="AQ95" s="177" t="str">
        <f t="shared" ca="1" si="23"/>
        <v>NO</v>
      </c>
      <c r="AR95" s="177" t="s">
        <v>1574</v>
      </c>
      <c r="AS95" s="435"/>
      <c r="AT95" s="992"/>
    </row>
    <row r="96" spans="1:46" ht="47.25" customHeight="1" x14ac:dyDescent="0.25">
      <c r="A96" s="15">
        <v>4</v>
      </c>
      <c r="B96" s="15">
        <v>90</v>
      </c>
      <c r="C96" s="439"/>
      <c r="D96" s="439" t="str">
        <f t="shared" si="13"/>
        <v>2013</v>
      </c>
      <c r="E96" s="132" t="s">
        <v>94</v>
      </c>
      <c r="F96" s="132" t="s">
        <v>433</v>
      </c>
      <c r="G96" s="137">
        <v>899999115</v>
      </c>
      <c r="H96" s="1024"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2" t="str">
        <f>IFERROR(VLOOKUP(E96,'liquidaciones '!$B$2:$C$1048576,2,0),"NO")</f>
        <v>NO</v>
      </c>
      <c r="AO96" s="972" t="str">
        <f>IFERROR(VLOOKUP(E96,'liquidaciones '!$B$2:$I$1048576,8,0),"")</f>
        <v/>
      </c>
      <c r="AP96" s="337"/>
      <c r="AQ96" s="177" t="str">
        <f t="shared" ca="1" si="23"/>
        <v>NO</v>
      </c>
      <c r="AR96" s="177" t="s">
        <v>1574</v>
      </c>
      <c r="AS96" s="435"/>
      <c r="AT96" s="992"/>
    </row>
    <row r="97" spans="1:46" ht="47.25" customHeight="1" x14ac:dyDescent="0.25">
      <c r="A97" s="15">
        <v>4</v>
      </c>
      <c r="B97" s="15">
        <v>91</v>
      </c>
      <c r="C97" s="439"/>
      <c r="D97" s="439" t="str">
        <f t="shared" si="13"/>
        <v>2013</v>
      </c>
      <c r="E97" s="132" t="s">
        <v>95</v>
      </c>
      <c r="F97" s="132" t="s">
        <v>41</v>
      </c>
      <c r="G97" s="143">
        <v>830034865</v>
      </c>
      <c r="H97" s="1024"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2" t="str">
        <f>IFERROR(VLOOKUP(E97,'liquidaciones '!$B$2:$C$1048576,2,0),"NO")</f>
        <v>LIQUIDADO</v>
      </c>
      <c r="AO97" s="972">
        <f>IFERROR(VLOOKUP(E97,'liquidaciones '!$B$2:$I$1048576,8,0),"")</f>
        <v>0</v>
      </c>
      <c r="AP97" s="337">
        <v>42150</v>
      </c>
      <c r="AQ97" s="177" t="str">
        <f t="shared" ca="1" si="23"/>
        <v>NO</v>
      </c>
      <c r="AR97" s="177" t="s">
        <v>1574</v>
      </c>
      <c r="AS97" s="435"/>
      <c r="AT97" s="992"/>
    </row>
    <row r="98" spans="1:46" ht="47.25" customHeight="1" x14ac:dyDescent="0.25">
      <c r="A98" s="15">
        <v>4</v>
      </c>
      <c r="B98" s="15">
        <v>92</v>
      </c>
      <c r="C98" s="439"/>
      <c r="D98" s="439" t="str">
        <f t="shared" si="13"/>
        <v>2013</v>
      </c>
      <c r="E98" s="132" t="s">
        <v>96</v>
      </c>
      <c r="F98" s="132" t="s">
        <v>3</v>
      </c>
      <c r="G98" s="143">
        <v>830095213</v>
      </c>
      <c r="H98" s="1024" t="s">
        <v>456</v>
      </c>
      <c r="I98" s="134">
        <v>351295000</v>
      </c>
      <c r="J98" s="134" t="s">
        <v>1088</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2" t="str">
        <f>IFERROR(VLOOKUP(E98,'liquidaciones '!$B$2:$C$1048576,2,0),"NO")</f>
        <v>LIQUIDADO</v>
      </c>
      <c r="AO98" s="972">
        <f>IFERROR(VLOOKUP(E98,'liquidaciones '!$B$2:$I$1048576,8,0),"")</f>
        <v>0</v>
      </c>
      <c r="AP98" s="337"/>
      <c r="AQ98" s="177" t="str">
        <f t="shared" ca="1" si="23"/>
        <v>NO</v>
      </c>
      <c r="AR98" s="177" t="s">
        <v>1574</v>
      </c>
      <c r="AS98" s="435"/>
      <c r="AT98" s="992"/>
    </row>
    <row r="99" spans="1:46" ht="47.25" customHeight="1" x14ac:dyDescent="0.25">
      <c r="A99" s="15">
        <v>4</v>
      </c>
      <c r="B99" s="15">
        <v>93</v>
      </c>
      <c r="C99" s="439"/>
      <c r="D99" s="439" t="str">
        <f t="shared" si="13"/>
        <v>2013</v>
      </c>
      <c r="E99" s="132" t="s">
        <v>97</v>
      </c>
      <c r="F99" s="132" t="s">
        <v>98</v>
      </c>
      <c r="G99" s="133">
        <v>830070625</v>
      </c>
      <c r="H99" s="1024" t="s">
        <v>345</v>
      </c>
      <c r="I99" s="134">
        <v>2096276</v>
      </c>
      <c r="J99" s="876" t="s">
        <v>4020</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2" t="str">
        <f>IFERROR(VLOOKUP(E99,'liquidaciones '!$B$2:$C$1048576,2,0),"NO")</f>
        <v>LIQUIDADO</v>
      </c>
      <c r="AO99" s="972">
        <f>IFERROR(VLOOKUP(E99,'liquidaciones '!$B$2:$I$1048576,8,0),"")</f>
        <v>0</v>
      </c>
      <c r="AP99" s="337">
        <v>41982</v>
      </c>
      <c r="AQ99" s="177" t="str">
        <f t="shared" ca="1" si="23"/>
        <v>NO</v>
      </c>
      <c r="AR99" s="177" t="s">
        <v>1574</v>
      </c>
      <c r="AS99" s="435"/>
      <c r="AT99" s="992"/>
    </row>
    <row r="100" spans="1:46" ht="47.25" customHeight="1" x14ac:dyDescent="0.25">
      <c r="A100" s="15">
        <v>4</v>
      </c>
      <c r="B100" s="15">
        <v>94</v>
      </c>
      <c r="C100" s="439"/>
      <c r="D100" s="439" t="str">
        <f t="shared" si="13"/>
        <v>2013</v>
      </c>
      <c r="E100" s="132" t="s">
        <v>99</v>
      </c>
      <c r="F100" s="132" t="s">
        <v>100</v>
      </c>
      <c r="G100" s="133">
        <v>860019063</v>
      </c>
      <c r="H100" s="1024"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2" t="str">
        <f>IFERROR(VLOOKUP(E100,'liquidaciones '!$B$2:$C$1048576,2,0),"NO")</f>
        <v>NO</v>
      </c>
      <c r="AO100" s="972" t="str">
        <f>IFERROR(VLOOKUP(E100,'liquidaciones '!$B$2:$I$1048576,8,0),"")</f>
        <v/>
      </c>
      <c r="AP100" s="337"/>
      <c r="AQ100" s="177" t="str">
        <f t="shared" ca="1" si="23"/>
        <v>NO</v>
      </c>
      <c r="AR100" s="177" t="s">
        <v>1574</v>
      </c>
      <c r="AS100" s="435"/>
      <c r="AT100" s="992"/>
    </row>
    <row r="101" spans="1:46" ht="47.25" customHeight="1" x14ac:dyDescent="0.25">
      <c r="A101" s="15">
        <v>4</v>
      </c>
      <c r="B101" s="15">
        <v>95</v>
      </c>
      <c r="C101" s="439"/>
      <c r="D101" s="439" t="str">
        <f t="shared" si="13"/>
        <v>2013</v>
      </c>
      <c r="E101" s="132" t="s">
        <v>121</v>
      </c>
      <c r="F101" s="132" t="s">
        <v>15</v>
      </c>
      <c r="G101" s="133">
        <v>830067096</v>
      </c>
      <c r="H101" s="1024" t="s">
        <v>353</v>
      </c>
      <c r="I101" s="140">
        <v>7740000</v>
      </c>
      <c r="J101" s="134" t="s">
        <v>1088</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2" t="str">
        <f>IFERROR(VLOOKUP(E101,'liquidaciones '!$B$2:$C$1048576,2,0),"NO")</f>
        <v>LIQUIDADO</v>
      </c>
      <c r="AO101" s="972">
        <f>IFERROR(VLOOKUP(E101,'liquidaciones '!$B$2:$I$1048576,8,0),"")</f>
        <v>0</v>
      </c>
      <c r="AP101" s="337">
        <v>42004</v>
      </c>
      <c r="AQ101" s="177" t="str">
        <f t="shared" ca="1" si="23"/>
        <v>NO</v>
      </c>
      <c r="AR101" s="177" t="s">
        <v>1574</v>
      </c>
      <c r="AS101" s="435"/>
      <c r="AT101" s="992"/>
    </row>
    <row r="102" spans="1:46" ht="47.25" customHeight="1" x14ac:dyDescent="0.25">
      <c r="A102" s="15">
        <v>4</v>
      </c>
      <c r="B102" s="15">
        <v>96</v>
      </c>
      <c r="C102" s="439"/>
      <c r="D102" s="439" t="str">
        <f t="shared" si="13"/>
        <v>2013</v>
      </c>
      <c r="E102" s="132" t="s">
        <v>123</v>
      </c>
      <c r="F102" s="132" t="s">
        <v>124</v>
      </c>
      <c r="G102" s="143">
        <v>52353202</v>
      </c>
      <c r="H102" s="1024"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2" t="str">
        <f>IFERROR(VLOOKUP(E102,'liquidaciones '!$B$2:$C$1048576,2,0),"NO")</f>
        <v>LIQUIDADO</v>
      </c>
      <c r="AO102" s="972">
        <f>IFERROR(VLOOKUP(E102,'liquidaciones '!$B$2:$I$1048576,8,0),"")</f>
        <v>0</v>
      </c>
      <c r="AP102" s="336">
        <v>42117</v>
      </c>
      <c r="AQ102" s="177" t="str">
        <f t="shared" ca="1" si="23"/>
        <v>NO</v>
      </c>
      <c r="AR102" s="177" t="s">
        <v>1574</v>
      </c>
      <c r="AS102" s="435"/>
      <c r="AT102" s="992"/>
    </row>
    <row r="103" spans="1:46" ht="47.25" customHeight="1" x14ac:dyDescent="0.25">
      <c r="A103" s="15">
        <v>4</v>
      </c>
      <c r="B103" s="15">
        <v>97</v>
      </c>
      <c r="C103" s="439"/>
      <c r="D103" s="439" t="str">
        <f t="shared" si="13"/>
        <v>2013</v>
      </c>
      <c r="E103" s="132" t="s">
        <v>125</v>
      </c>
      <c r="F103" s="132" t="s">
        <v>126</v>
      </c>
      <c r="G103" s="133">
        <v>900333228</v>
      </c>
      <c r="H103" s="1024" t="s">
        <v>466</v>
      </c>
      <c r="I103" s="134">
        <v>9366000</v>
      </c>
      <c r="J103" s="876" t="s">
        <v>4083</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2" t="str">
        <f>IFERROR(VLOOKUP(E103,'liquidaciones '!$B$2:$C$1048576,2,0),"NO")</f>
        <v>LIQUIDADO</v>
      </c>
      <c r="AO103" s="972">
        <f>IFERROR(VLOOKUP(E103,'liquidaciones '!$B$2:$I$1048576,8,0),"")</f>
        <v>0</v>
      </c>
      <c r="AP103" s="337">
        <v>42333</v>
      </c>
      <c r="AQ103" s="177" t="str">
        <f t="shared" ca="1" si="23"/>
        <v>NO</v>
      </c>
      <c r="AR103" s="177" t="s">
        <v>1574</v>
      </c>
      <c r="AS103" s="435"/>
      <c r="AT103" s="992"/>
    </row>
    <row r="104" spans="1:46" ht="47.25" customHeight="1" x14ac:dyDescent="0.25">
      <c r="A104" s="15">
        <v>4</v>
      </c>
      <c r="B104" s="15">
        <v>98</v>
      </c>
      <c r="C104" s="439"/>
      <c r="D104" s="439" t="str">
        <f t="shared" si="13"/>
        <v>2013</v>
      </c>
      <c r="E104" s="132" t="s">
        <v>129</v>
      </c>
      <c r="F104" s="132" t="s">
        <v>1019</v>
      </c>
      <c r="G104" s="133">
        <v>900611595</v>
      </c>
      <c r="H104" s="1024" t="s">
        <v>315</v>
      </c>
      <c r="I104" s="134">
        <v>22300000</v>
      </c>
      <c r="J104" s="876" t="s">
        <v>4088</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2" t="str">
        <f>IFERROR(VLOOKUP(E104,'liquidaciones '!$B$2:$C$1048576,2,0),"NO")</f>
        <v>LIQUIDADO</v>
      </c>
      <c r="AO104" s="972">
        <f>IFERROR(VLOOKUP(E104,'liquidaciones '!$B$2:$I$1048576,8,0),"")</f>
        <v>0</v>
      </c>
      <c r="AP104" s="337">
        <v>42290</v>
      </c>
      <c r="AQ104" s="177" t="str">
        <f t="shared" ca="1" si="23"/>
        <v>NO</v>
      </c>
      <c r="AR104" s="177" t="s">
        <v>1574</v>
      </c>
      <c r="AS104" s="435"/>
      <c r="AT104" s="992"/>
    </row>
    <row r="105" spans="1:46" ht="47.25" customHeight="1" x14ac:dyDescent="0.25">
      <c r="A105" s="15">
        <v>4</v>
      </c>
      <c r="B105" s="15">
        <v>99</v>
      </c>
      <c r="C105" s="439"/>
      <c r="D105" s="439" t="str">
        <f t="shared" si="13"/>
        <v>2013</v>
      </c>
      <c r="E105" s="142" t="s">
        <v>89</v>
      </c>
      <c r="F105" s="132" t="s">
        <v>90</v>
      </c>
      <c r="G105" s="133">
        <v>830109807</v>
      </c>
      <c r="H105" s="1024"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2" t="str">
        <f>IFERROR(VLOOKUP(E105,'liquidaciones '!$B$2:$C$1048576,2,0),"NO")</f>
        <v>LIQUIDADO</v>
      </c>
      <c r="AO105" s="972">
        <f>IFERROR(VLOOKUP(E105,'liquidaciones '!$B$2:$I$1048576,8,0),"")</f>
        <v>0</v>
      </c>
      <c r="AP105" s="337">
        <v>41982</v>
      </c>
      <c r="AQ105" s="177" t="str">
        <f t="shared" ca="1" si="23"/>
        <v>NO</v>
      </c>
      <c r="AR105" s="177" t="s">
        <v>1574</v>
      </c>
      <c r="AS105" s="435"/>
      <c r="AT105" s="992"/>
    </row>
    <row r="106" spans="1:46" ht="47.25" customHeight="1" x14ac:dyDescent="0.25">
      <c r="A106" s="15">
        <v>4</v>
      </c>
      <c r="B106" s="15">
        <v>100</v>
      </c>
      <c r="C106" s="439"/>
      <c r="D106" s="439" t="str">
        <f t="shared" si="13"/>
        <v>2013</v>
      </c>
      <c r="E106" s="142" t="s">
        <v>130</v>
      </c>
      <c r="F106" s="207" t="s">
        <v>1112</v>
      </c>
      <c r="G106" s="133">
        <v>830005370</v>
      </c>
      <c r="H106" s="1024"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2" t="str">
        <f>IFERROR(VLOOKUP(E106,'liquidaciones '!$B$2:$C$1048576,2,0),"NO")</f>
        <v>LIQUIDADO</v>
      </c>
      <c r="AO106" s="972">
        <f>IFERROR(VLOOKUP(E106,'liquidaciones '!$B$2:$I$1048576,8,0),"")</f>
        <v>0</v>
      </c>
      <c r="AP106" s="337">
        <v>42051</v>
      </c>
      <c r="AQ106" s="177" t="str">
        <f t="shared" ca="1" si="23"/>
        <v>NO</v>
      </c>
      <c r="AR106" s="177" t="s">
        <v>1574</v>
      </c>
      <c r="AS106" s="435"/>
      <c r="AT106" s="992"/>
    </row>
    <row r="107" spans="1:46" ht="47.25" customHeight="1" x14ac:dyDescent="0.25">
      <c r="A107" s="15">
        <v>4</v>
      </c>
      <c r="B107" s="15">
        <v>101</v>
      </c>
      <c r="C107" s="439"/>
      <c r="D107" s="439" t="str">
        <f t="shared" si="13"/>
        <v>2013</v>
      </c>
      <c r="E107" s="132" t="s">
        <v>132</v>
      </c>
      <c r="F107" s="132" t="s">
        <v>27</v>
      </c>
      <c r="G107" s="143">
        <v>860009759</v>
      </c>
      <c r="H107" s="1024"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2" t="str">
        <f>IFERROR(VLOOKUP(E107,'liquidaciones '!$B$2:$C$1048576,2,0),"NO")</f>
        <v>NO</v>
      </c>
      <c r="AO107" s="972" t="str">
        <f>IFERROR(VLOOKUP(E107,'liquidaciones '!$B$2:$I$1048576,8,0),"")</f>
        <v/>
      </c>
      <c r="AP107" s="337">
        <v>42286</v>
      </c>
      <c r="AQ107" s="177" t="str">
        <f t="shared" ca="1" si="23"/>
        <v>NO</v>
      </c>
      <c r="AR107" s="177" t="s">
        <v>1574</v>
      </c>
      <c r="AS107" s="435"/>
      <c r="AT107" s="992"/>
    </row>
    <row r="108" spans="1:46" ht="47.25" customHeight="1" x14ac:dyDescent="0.25">
      <c r="A108" s="15">
        <v>4</v>
      </c>
      <c r="B108" s="15">
        <v>102</v>
      </c>
      <c r="C108" s="439"/>
      <c r="D108" s="439" t="str">
        <f t="shared" si="13"/>
        <v>2013</v>
      </c>
      <c r="E108" s="132" t="s">
        <v>133</v>
      </c>
      <c r="F108" s="132" t="s">
        <v>134</v>
      </c>
      <c r="G108" s="133">
        <v>830101973</v>
      </c>
      <c r="H108" s="1024"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2" t="str">
        <f>IFERROR(VLOOKUP(E108,'liquidaciones '!$B$2:$C$1048576,2,0),"NO")</f>
        <v>LIQUIDADO</v>
      </c>
      <c r="AO108" s="972">
        <f>IFERROR(VLOOKUP(E108,'liquidaciones '!$B$2:$I$1048576,8,0),"")</f>
        <v>0</v>
      </c>
      <c r="AP108" s="337">
        <v>42004</v>
      </c>
      <c r="AQ108" s="177" t="str">
        <f t="shared" ca="1" si="23"/>
        <v>NO</v>
      </c>
      <c r="AR108" s="177" t="s">
        <v>1574</v>
      </c>
      <c r="AS108" s="435"/>
      <c r="AT108" s="992"/>
    </row>
    <row r="109" spans="1:46" ht="47.25" customHeight="1" x14ac:dyDescent="0.25">
      <c r="A109" s="15">
        <v>4</v>
      </c>
      <c r="B109" s="15">
        <v>103</v>
      </c>
      <c r="C109" s="439"/>
      <c r="D109" s="439" t="str">
        <f t="shared" si="13"/>
        <v>2013</v>
      </c>
      <c r="E109" s="132" t="s">
        <v>135</v>
      </c>
      <c r="F109" s="132" t="s">
        <v>38</v>
      </c>
      <c r="G109" s="133">
        <v>830053669</v>
      </c>
      <c r="H109" s="1024" t="s">
        <v>327</v>
      </c>
      <c r="I109" s="134">
        <v>31904847</v>
      </c>
      <c r="J109" s="134" t="s">
        <v>1088</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2" t="str">
        <f>IFERROR(VLOOKUP(E109,'liquidaciones '!$B$2:$C$1048576,2,0),"NO")</f>
        <v>LIQUIDADO</v>
      </c>
      <c r="AO109" s="972">
        <f>IFERROR(VLOOKUP(E109,'liquidaciones '!$B$2:$I$1048576,8,0),"")</f>
        <v>0</v>
      </c>
      <c r="AP109" s="337"/>
      <c r="AQ109" s="177" t="str">
        <f t="shared" ca="1" si="23"/>
        <v>NO</v>
      </c>
      <c r="AR109" s="177" t="s">
        <v>1574</v>
      </c>
      <c r="AS109" s="435"/>
      <c r="AT109" s="992"/>
    </row>
    <row r="110" spans="1:46" ht="47.25" customHeight="1" x14ac:dyDescent="0.25">
      <c r="A110" s="15">
        <v>4</v>
      </c>
      <c r="B110" s="15">
        <v>104</v>
      </c>
      <c r="C110" s="439"/>
      <c r="D110" s="439" t="str">
        <f t="shared" si="13"/>
        <v>2013</v>
      </c>
      <c r="E110" s="132" t="s">
        <v>136</v>
      </c>
      <c r="F110" s="132" t="s">
        <v>137</v>
      </c>
      <c r="G110" s="133">
        <v>230802</v>
      </c>
      <c r="H110" s="1024" t="s">
        <v>469</v>
      </c>
      <c r="I110" s="134">
        <v>40000000</v>
      </c>
      <c r="J110" s="876" t="s">
        <v>4084</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2" t="str">
        <f>IFERROR(VLOOKUP(E110,'liquidaciones '!$B$2:$C$1048576,2,0),"NO")</f>
        <v>LIQUIDADO</v>
      </c>
      <c r="AO110" s="972">
        <f>IFERROR(VLOOKUP(E110,'liquidaciones '!$B$2:$I$1048576,8,0),"")</f>
        <v>0</v>
      </c>
      <c r="AP110" s="335">
        <v>42325</v>
      </c>
      <c r="AQ110" s="177" t="str">
        <f t="shared" ca="1" si="23"/>
        <v>NO</v>
      </c>
      <c r="AR110" s="177" t="s">
        <v>1574</v>
      </c>
      <c r="AS110" s="435"/>
      <c r="AT110" s="992"/>
    </row>
    <row r="111" spans="1:46" ht="47.25" customHeight="1" x14ac:dyDescent="0.25">
      <c r="A111" s="15">
        <v>4</v>
      </c>
      <c r="B111" s="15">
        <v>105</v>
      </c>
      <c r="C111" s="439"/>
      <c r="D111" s="439" t="str">
        <f t="shared" si="13"/>
        <v>2013</v>
      </c>
      <c r="E111" s="139" t="s">
        <v>202</v>
      </c>
      <c r="F111" s="164" t="s">
        <v>203</v>
      </c>
      <c r="G111" s="133">
        <v>860049921</v>
      </c>
      <c r="H111" s="1024"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2" t="str">
        <f>IFERROR(VLOOKUP(E111,'liquidaciones '!$B$2:$C$1048576,2,0),"NO")</f>
        <v>LIQUIDADO</v>
      </c>
      <c r="AO111" s="972">
        <f>IFERROR(VLOOKUP(E111,'liquidaciones '!$B$2:$I$1048576,8,0),"")</f>
        <v>0</v>
      </c>
      <c r="AP111" s="339">
        <v>41905</v>
      </c>
      <c r="AQ111" s="177" t="str">
        <f t="shared" ca="1" si="23"/>
        <v>NO</v>
      </c>
      <c r="AR111" s="177" t="s">
        <v>1574</v>
      </c>
      <c r="AS111" s="435"/>
      <c r="AT111" s="992"/>
    </row>
    <row r="112" spans="1:46" ht="47.25" customHeight="1" x14ac:dyDescent="0.25">
      <c r="A112" s="15">
        <v>4</v>
      </c>
      <c r="B112" s="15">
        <v>106</v>
      </c>
      <c r="C112" s="439"/>
      <c r="D112" s="439" t="str">
        <f t="shared" si="13"/>
        <v>2013</v>
      </c>
      <c r="E112" s="132" t="s">
        <v>138</v>
      </c>
      <c r="F112" s="132" t="s">
        <v>1034</v>
      </c>
      <c r="G112" s="133">
        <v>79887061</v>
      </c>
      <c r="H112" s="1024"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2" t="str">
        <f>IFERROR(VLOOKUP(E112,'liquidaciones '!$B$2:$C$1048576,2,0),"NO")</f>
        <v>LIQUIDADO</v>
      </c>
      <c r="AO112" s="972">
        <f>IFERROR(VLOOKUP(E112,'liquidaciones '!$B$2:$I$1048576,8,0),"")</f>
        <v>0</v>
      </c>
      <c r="AP112" s="335">
        <v>41712</v>
      </c>
      <c r="AQ112" s="177" t="str">
        <f t="shared" ca="1" si="23"/>
        <v>NO</v>
      </c>
      <c r="AR112" s="177" t="s">
        <v>1574</v>
      </c>
      <c r="AS112" s="435"/>
      <c r="AT112" s="992"/>
    </row>
    <row r="113" spans="1:46" ht="47.25" customHeight="1" x14ac:dyDescent="0.25">
      <c r="A113" s="15">
        <v>4</v>
      </c>
      <c r="B113" s="15">
        <v>107</v>
      </c>
      <c r="C113" s="439"/>
      <c r="D113" s="439" t="str">
        <f t="shared" si="13"/>
        <v>2013</v>
      </c>
      <c r="E113" s="132" t="s">
        <v>139</v>
      </c>
      <c r="F113" s="132" t="s">
        <v>140</v>
      </c>
      <c r="G113" s="133">
        <v>51721571</v>
      </c>
      <c r="H113" s="1024"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2" t="str">
        <f>IFERROR(VLOOKUP(E113,'liquidaciones '!$B$2:$C$1048576,2,0),"NO")</f>
        <v>NO</v>
      </c>
      <c r="AO113" s="972" t="str">
        <f>IFERROR(VLOOKUP(E113,'liquidaciones '!$B$2:$I$1048576,8,0),"")</f>
        <v/>
      </c>
      <c r="AP113" s="335"/>
      <c r="AQ113" s="177" t="str">
        <f t="shared" ca="1" si="23"/>
        <v>NO</v>
      </c>
      <c r="AR113" s="177" t="s">
        <v>1574</v>
      </c>
      <c r="AS113" s="435"/>
      <c r="AT113" s="992"/>
    </row>
    <row r="114" spans="1:46" ht="47.25" customHeight="1" x14ac:dyDescent="0.25">
      <c r="A114" s="15">
        <v>4</v>
      </c>
      <c r="B114" s="15">
        <v>108</v>
      </c>
      <c r="C114" s="439"/>
      <c r="D114" s="439" t="str">
        <f t="shared" si="13"/>
        <v>2013</v>
      </c>
      <c r="E114" s="132" t="s">
        <v>141</v>
      </c>
      <c r="F114" s="132" t="s">
        <v>142</v>
      </c>
      <c r="G114" s="133">
        <v>800026212</v>
      </c>
      <c r="H114" s="1024"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2" t="str">
        <f>IFERROR(VLOOKUP(E114,'liquidaciones '!$B$2:$C$1048576,2,0),"NO")</f>
        <v>LIQUIDADO</v>
      </c>
      <c r="AO114" s="972">
        <f>IFERROR(VLOOKUP(E114,'liquidaciones '!$B$2:$I$1048576,8,0),"")</f>
        <v>0</v>
      </c>
      <c r="AP114" s="335">
        <v>42118</v>
      </c>
      <c r="AQ114" s="177" t="str">
        <f t="shared" ca="1" si="23"/>
        <v>NO</v>
      </c>
      <c r="AR114" s="177" t="s">
        <v>1574</v>
      </c>
      <c r="AS114" s="435"/>
      <c r="AT114" s="992"/>
    </row>
    <row r="115" spans="1:46" ht="47.25" customHeight="1" x14ac:dyDescent="0.25">
      <c r="A115" s="15">
        <v>4</v>
      </c>
      <c r="B115" s="15">
        <v>109</v>
      </c>
      <c r="C115" s="439"/>
      <c r="D115" s="439" t="str">
        <f t="shared" si="13"/>
        <v>2013</v>
      </c>
      <c r="E115" s="132" t="s">
        <v>143</v>
      </c>
      <c r="F115" s="132" t="s">
        <v>144</v>
      </c>
      <c r="G115" s="133">
        <v>900450570</v>
      </c>
      <c r="H115" s="1024"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2" t="str">
        <f>IFERROR(VLOOKUP(E115,'liquidaciones '!$B$2:$C$1048576,2,0),"NO")</f>
        <v>LIQUIDADO</v>
      </c>
      <c r="AO115" s="972">
        <f>IFERROR(VLOOKUP(E115,'liquidaciones '!$B$2:$I$1048576,8,0),"")</f>
        <v>0</v>
      </c>
      <c r="AP115" s="339">
        <v>42081</v>
      </c>
      <c r="AQ115" s="177" t="str">
        <f t="shared" ca="1" si="23"/>
        <v>NO</v>
      </c>
      <c r="AR115" s="177" t="s">
        <v>1574</v>
      </c>
      <c r="AS115" s="435"/>
      <c r="AT115" s="992"/>
    </row>
    <row r="116" spans="1:46" s="235" customFormat="1" ht="47.25" customHeight="1" x14ac:dyDescent="0.25">
      <c r="A116" s="15">
        <v>4</v>
      </c>
      <c r="B116" s="401">
        <v>110</v>
      </c>
      <c r="C116" s="442"/>
      <c r="D116" s="439" t="str">
        <f t="shared" si="13"/>
        <v>2013</v>
      </c>
      <c r="E116" s="132" t="s">
        <v>145</v>
      </c>
      <c r="F116" s="132" t="s">
        <v>43</v>
      </c>
      <c r="G116" s="133">
        <v>830100153</v>
      </c>
      <c r="H116" s="1024"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2" t="str">
        <f>IFERROR(VLOOKUP(E116,'liquidaciones '!$B$2:$C$1048576,2,0),"NO")</f>
        <v>LIQUIDADO</v>
      </c>
      <c r="AO116" s="972">
        <f>IFERROR(VLOOKUP(E116,'liquidaciones '!$B$2:$I$1048576,8,0),"")</f>
        <v>0</v>
      </c>
      <c r="AP116" s="340">
        <v>42004</v>
      </c>
      <c r="AQ116" s="177" t="str">
        <f t="shared" ca="1" si="23"/>
        <v>NO</v>
      </c>
      <c r="AR116" s="177" t="s">
        <v>1574</v>
      </c>
      <c r="AS116" s="435"/>
      <c r="AT116" s="993"/>
    </row>
    <row r="117" spans="1:46" ht="47.25" customHeight="1" x14ac:dyDescent="0.25">
      <c r="A117" s="15">
        <v>4</v>
      </c>
      <c r="B117" s="15">
        <v>111</v>
      </c>
      <c r="C117" s="439"/>
      <c r="D117" s="439" t="str">
        <f t="shared" si="13"/>
        <v>2013</v>
      </c>
      <c r="E117" s="132" t="s">
        <v>146</v>
      </c>
      <c r="F117" s="132" t="s">
        <v>1018</v>
      </c>
      <c r="G117" s="133">
        <v>900548648</v>
      </c>
      <c r="H117" s="1024"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2" t="str">
        <f>IFERROR(VLOOKUP(E117,'liquidaciones '!$B$2:$C$1048576,2,0),"NO")</f>
        <v>LIQUIDADO</v>
      </c>
      <c r="AO117" s="972">
        <f>IFERROR(VLOOKUP(E117,'liquidaciones '!$B$2:$I$1048576,8,0),"")</f>
        <v>0</v>
      </c>
      <c r="AP117" s="339"/>
      <c r="AQ117" s="177" t="str">
        <f t="shared" ca="1" si="23"/>
        <v>NO</v>
      </c>
      <c r="AR117" s="177" t="s">
        <v>1574</v>
      </c>
      <c r="AS117" s="435"/>
      <c r="AT117" s="992"/>
    </row>
    <row r="118" spans="1:46" ht="47.25" customHeight="1" x14ac:dyDescent="0.25">
      <c r="A118" s="15">
        <v>4</v>
      </c>
      <c r="B118" s="15">
        <v>112</v>
      </c>
      <c r="C118" s="439"/>
      <c r="D118" s="439" t="str">
        <f t="shared" si="13"/>
        <v>2013</v>
      </c>
      <c r="E118" s="132" t="s">
        <v>147</v>
      </c>
      <c r="F118" s="132" t="s">
        <v>148</v>
      </c>
      <c r="G118" s="133">
        <v>80422654</v>
      </c>
      <c r="H118" s="1024"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2" t="str">
        <f>IFERROR(VLOOKUP(E118,'liquidaciones '!$B$2:$C$1048576,2,0),"NO")</f>
        <v>EN TRÁMITE</v>
      </c>
      <c r="AO118" s="972">
        <f>IFERROR(VLOOKUP(E118,'liquidaciones '!$B$2:$I$1048576,8,0),"")</f>
        <v>0</v>
      </c>
      <c r="AP118" s="339"/>
      <c r="AQ118" s="177" t="str">
        <f t="shared" ca="1" si="23"/>
        <v>NO</v>
      </c>
      <c r="AR118" s="177" t="s">
        <v>1574</v>
      </c>
      <c r="AS118" s="435"/>
      <c r="AT118" s="992"/>
    </row>
    <row r="119" spans="1:46" ht="47.25" customHeight="1" x14ac:dyDescent="0.25">
      <c r="A119" s="15">
        <v>4</v>
      </c>
      <c r="B119" s="15">
        <v>113</v>
      </c>
      <c r="C119" s="439"/>
      <c r="D119" s="439" t="str">
        <f t="shared" si="13"/>
        <v>2013</v>
      </c>
      <c r="E119" s="142" t="s">
        <v>155</v>
      </c>
      <c r="F119" s="132" t="s">
        <v>1035</v>
      </c>
      <c r="G119" s="133">
        <v>4098836</v>
      </c>
      <c r="H119" s="1024"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2" t="str">
        <f>IFERROR(VLOOKUP(E119,'liquidaciones '!$B$2:$C$1048576,2,0),"NO")</f>
        <v>NO</v>
      </c>
      <c r="AO119" s="972" t="str">
        <f>IFERROR(VLOOKUP(E119,'liquidaciones '!$B$2:$I$1048576,8,0),"")</f>
        <v/>
      </c>
      <c r="AP119" s="335">
        <v>41710</v>
      </c>
      <c r="AQ119" s="177" t="str">
        <f t="shared" ca="1" si="23"/>
        <v>NO</v>
      </c>
      <c r="AR119" s="177" t="s">
        <v>1574</v>
      </c>
      <c r="AS119" s="435"/>
      <c r="AT119" s="992"/>
    </row>
    <row r="120" spans="1:46" ht="47.25" customHeight="1" x14ac:dyDescent="0.25">
      <c r="A120" s="15">
        <v>4</v>
      </c>
      <c r="B120" s="15">
        <v>114</v>
      </c>
      <c r="C120" s="439"/>
      <c r="D120" s="439" t="str">
        <f t="shared" si="13"/>
        <v>2013</v>
      </c>
      <c r="E120" s="142" t="s">
        <v>156</v>
      </c>
      <c r="F120" s="132" t="s">
        <v>53</v>
      </c>
      <c r="G120" s="133">
        <v>4831</v>
      </c>
      <c r="H120" s="1024"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2" t="str">
        <f>IFERROR(VLOOKUP(E120,'liquidaciones '!$B$2:$C$1048576,2,0),"NO")</f>
        <v>LIQUIDADO</v>
      </c>
      <c r="AO120" s="972">
        <f>IFERROR(VLOOKUP(E120,'liquidaciones '!$B$2:$I$1048576,8,0),"")</f>
        <v>0</v>
      </c>
      <c r="AP120" s="339">
        <v>42012</v>
      </c>
      <c r="AQ120" s="177" t="str">
        <f t="shared" ca="1" si="23"/>
        <v>NO</v>
      </c>
      <c r="AR120" s="177" t="s">
        <v>1574</v>
      </c>
      <c r="AS120" s="435"/>
      <c r="AT120" s="992"/>
    </row>
    <row r="121" spans="1:46" ht="47.25" customHeight="1" x14ac:dyDescent="0.25">
      <c r="A121" s="15">
        <v>4</v>
      </c>
      <c r="B121" s="15">
        <v>115</v>
      </c>
      <c r="C121" s="439"/>
      <c r="D121" s="439" t="str">
        <f t="shared" si="13"/>
        <v>2013</v>
      </c>
      <c r="E121" s="142" t="s">
        <v>157</v>
      </c>
      <c r="F121" s="132" t="s">
        <v>158</v>
      </c>
      <c r="G121" s="133">
        <v>900090485</v>
      </c>
      <c r="H121" s="1024"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2" t="str">
        <f>IFERROR(VLOOKUP(E121,'liquidaciones '!$B$2:$C$1048576,2,0),"NO")</f>
        <v>NO</v>
      </c>
      <c r="AO121" s="972" t="str">
        <f>IFERROR(VLOOKUP(E121,'liquidaciones '!$B$2:$I$1048576,8,0),"")</f>
        <v/>
      </c>
      <c r="AP121" s="335"/>
      <c r="AQ121" s="177" t="str">
        <f t="shared" ca="1" si="23"/>
        <v>NO</v>
      </c>
      <c r="AR121" s="177" t="s">
        <v>1574</v>
      </c>
      <c r="AS121" s="435"/>
      <c r="AT121" s="992"/>
    </row>
    <row r="122" spans="1:46" ht="47.25" customHeight="1" x14ac:dyDescent="0.25">
      <c r="A122" s="15">
        <v>4</v>
      </c>
      <c r="B122" s="15">
        <v>116</v>
      </c>
      <c r="C122" s="439"/>
      <c r="D122" s="439" t="str">
        <f t="shared" si="13"/>
        <v>2013</v>
      </c>
      <c r="E122" s="142" t="s">
        <v>159</v>
      </c>
      <c r="F122" s="132" t="s">
        <v>160</v>
      </c>
      <c r="G122" s="143">
        <v>804002433</v>
      </c>
      <c r="H122" s="1024"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2" t="str">
        <f>IFERROR(VLOOKUP(E122,'liquidaciones '!$B$2:$C$1048576,2,0),"NO")</f>
        <v>LIQUIDADO</v>
      </c>
      <c r="AO122" s="972">
        <f>IFERROR(VLOOKUP(E122,'liquidaciones '!$B$2:$I$1048576,8,0),"")</f>
        <v>0</v>
      </c>
      <c r="AP122" s="339">
        <v>41939</v>
      </c>
      <c r="AQ122" s="177" t="str">
        <f t="shared" ca="1" si="23"/>
        <v>NO</v>
      </c>
      <c r="AR122" s="177" t="s">
        <v>1574</v>
      </c>
      <c r="AS122" s="435"/>
      <c r="AT122" s="992"/>
    </row>
    <row r="123" spans="1:46" ht="47.25" customHeight="1" x14ac:dyDescent="0.25">
      <c r="A123" s="15">
        <v>4</v>
      </c>
      <c r="B123" s="15">
        <v>117</v>
      </c>
      <c r="C123" s="439"/>
      <c r="D123" s="439" t="str">
        <f t="shared" si="13"/>
        <v>2013</v>
      </c>
      <c r="E123" s="142" t="s">
        <v>164</v>
      </c>
      <c r="F123" s="132" t="s">
        <v>165</v>
      </c>
      <c r="G123" s="133">
        <v>900629446</v>
      </c>
      <c r="H123" s="1024"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2" t="str">
        <f>IFERROR(VLOOKUP(E123,'liquidaciones '!$B$2:$C$1048576,2,0),"NO")</f>
        <v>NO</v>
      </c>
      <c r="AO123" s="972" t="str">
        <f>IFERROR(VLOOKUP(E123,'liquidaciones '!$B$2:$I$1048576,8,0),"")</f>
        <v/>
      </c>
      <c r="AP123" s="339">
        <v>42179</v>
      </c>
      <c r="AQ123" s="177" t="str">
        <f t="shared" ca="1" si="23"/>
        <v>NO</v>
      </c>
      <c r="AR123" s="177" t="s">
        <v>1574</v>
      </c>
      <c r="AS123" s="435"/>
      <c r="AT123" s="992"/>
    </row>
    <row r="124" spans="1:46" ht="47.25" customHeight="1" x14ac:dyDescent="0.25">
      <c r="A124" s="15">
        <v>4</v>
      </c>
      <c r="B124" s="15">
        <v>118</v>
      </c>
      <c r="C124" s="439"/>
      <c r="D124" s="439" t="str">
        <f t="shared" si="13"/>
        <v>2013</v>
      </c>
      <c r="E124" s="139" t="s">
        <v>190</v>
      </c>
      <c r="F124" s="132" t="s">
        <v>29</v>
      </c>
      <c r="G124" s="133">
        <v>860536029</v>
      </c>
      <c r="H124" s="1024" t="s">
        <v>404</v>
      </c>
      <c r="I124" s="140">
        <v>840000</v>
      </c>
      <c r="J124" s="887">
        <v>130209</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2" t="str">
        <f>IFERROR(VLOOKUP(E124,'liquidaciones '!$B$2:$C$1048576,2,0),"NO")</f>
        <v>LIQUIDADO</v>
      </c>
      <c r="AO124" s="972">
        <f>IFERROR(VLOOKUP(E124,'liquidaciones '!$B$2:$I$1048576,8,0),"")</f>
        <v>0</v>
      </c>
      <c r="AP124" s="339">
        <v>42152</v>
      </c>
      <c r="AQ124" s="177" t="str">
        <f t="shared" ca="1" si="23"/>
        <v>NO</v>
      </c>
      <c r="AR124" s="177" t="s">
        <v>1574</v>
      </c>
      <c r="AS124" s="435"/>
      <c r="AT124" s="992"/>
    </row>
    <row r="125" spans="1:46" ht="47.25" customHeight="1" x14ac:dyDescent="0.25">
      <c r="A125" s="15">
        <v>4</v>
      </c>
      <c r="B125" s="15">
        <v>119</v>
      </c>
      <c r="C125" s="439"/>
      <c r="D125" s="439" t="str">
        <f t="shared" si="13"/>
        <v>2013</v>
      </c>
      <c r="E125" s="142" t="s">
        <v>166</v>
      </c>
      <c r="F125" s="132" t="s">
        <v>1025</v>
      </c>
      <c r="G125" s="143">
        <v>80199707</v>
      </c>
      <c r="H125" s="1024"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2" t="str">
        <f>IFERROR(VLOOKUP(E125,'liquidaciones '!$B$2:$C$1048576,2,0),"NO")</f>
        <v>LIQUIDADO</v>
      </c>
      <c r="AO125" s="972">
        <f>IFERROR(VLOOKUP(E125,'liquidaciones '!$B$2:$I$1048576,8,0),"")</f>
        <v>0</v>
      </c>
      <c r="AP125" s="339">
        <v>42011</v>
      </c>
      <c r="AQ125" s="177" t="str">
        <f t="shared" ca="1" si="23"/>
        <v>NO</v>
      </c>
      <c r="AR125" s="177" t="s">
        <v>1574</v>
      </c>
      <c r="AS125" s="435"/>
      <c r="AT125" s="992"/>
    </row>
    <row r="126" spans="1:46" ht="47.25" customHeight="1" x14ac:dyDescent="0.25">
      <c r="A126" s="15">
        <v>4</v>
      </c>
      <c r="B126" s="15">
        <v>120</v>
      </c>
      <c r="C126" s="439"/>
      <c r="D126" s="439" t="str">
        <f t="shared" si="13"/>
        <v>2013</v>
      </c>
      <c r="E126" s="139" t="s">
        <v>175</v>
      </c>
      <c r="F126" s="132" t="s">
        <v>176</v>
      </c>
      <c r="G126" s="143">
        <v>890903407</v>
      </c>
      <c r="H126" s="1024" t="s">
        <v>475</v>
      </c>
      <c r="I126" s="140">
        <v>4001000</v>
      </c>
      <c r="J126" s="134" t="s">
        <v>1088</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2" t="str">
        <f>IFERROR(VLOOKUP(E126,'liquidaciones '!$B$2:$C$1048576,2,0),"NO")</f>
        <v>LIQUIDADO</v>
      </c>
      <c r="AO126" s="972">
        <f>IFERROR(VLOOKUP(E126,'liquidaciones '!$B$2:$I$1048576,8,0),"")</f>
        <v>0</v>
      </c>
      <c r="AP126" s="339"/>
      <c r="AQ126" s="177" t="str">
        <f t="shared" ca="1" si="23"/>
        <v>NO</v>
      </c>
      <c r="AR126" s="177"/>
      <c r="AS126" s="435"/>
      <c r="AT126" s="992"/>
    </row>
    <row r="127" spans="1:46" ht="47.25" customHeight="1" x14ac:dyDescent="0.25">
      <c r="A127" s="15">
        <v>4</v>
      </c>
      <c r="B127" s="15">
        <v>121</v>
      </c>
      <c r="C127" s="439"/>
      <c r="D127" s="439" t="str">
        <f t="shared" si="13"/>
        <v>2013</v>
      </c>
      <c r="E127" s="139" t="s">
        <v>197</v>
      </c>
      <c r="F127" s="155" t="s">
        <v>198</v>
      </c>
      <c r="G127" s="133">
        <v>900268429</v>
      </c>
      <c r="H127" s="1024"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2" t="str">
        <f>IFERROR(VLOOKUP(E127,'liquidaciones '!$B$2:$C$1048576,2,0),"NO")</f>
        <v>LIQUIDADO</v>
      </c>
      <c r="AO127" s="972">
        <f>IFERROR(VLOOKUP(E127,'liquidaciones '!$B$2:$I$1048576,8,0),"")</f>
        <v>0</v>
      </c>
      <c r="AP127" s="339">
        <v>41975</v>
      </c>
      <c r="AQ127" s="177" t="str">
        <f t="shared" ca="1" si="23"/>
        <v>NO</v>
      </c>
      <c r="AR127" s="177" t="s">
        <v>983</v>
      </c>
      <c r="AS127" s="435"/>
      <c r="AT127" s="992"/>
    </row>
    <row r="128" spans="1:46" ht="54" customHeight="1" x14ac:dyDescent="0.25">
      <c r="A128" s="15">
        <v>4</v>
      </c>
      <c r="B128" s="15">
        <v>122</v>
      </c>
      <c r="C128" s="439"/>
      <c r="D128" s="439" t="str">
        <f t="shared" si="13"/>
        <v>2013</v>
      </c>
      <c r="E128" s="142" t="s">
        <v>167</v>
      </c>
      <c r="F128" s="132" t="s">
        <v>1516</v>
      </c>
      <c r="G128" s="133">
        <v>80117116</v>
      </c>
      <c r="H128" s="1024" t="s">
        <v>361</v>
      </c>
      <c r="I128" s="134">
        <v>23989000</v>
      </c>
      <c r="J128" s="134" t="s">
        <v>1088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2" t="str">
        <f>IFERROR(VLOOKUP(E128,'liquidaciones '!$B$2:$C$1048576,2,0),"NO")</f>
        <v>NO</v>
      </c>
      <c r="AO128" s="972" t="str">
        <f>IFERROR(VLOOKUP(E128,'liquidaciones '!$B$2:$I$1048576,8,0),"")</f>
        <v/>
      </c>
      <c r="AP128" s="335">
        <v>41708</v>
      </c>
      <c r="AQ128" s="177" t="str">
        <f t="shared" ca="1" si="23"/>
        <v>NO</v>
      </c>
      <c r="AR128" s="177" t="s">
        <v>981</v>
      </c>
      <c r="AS128" s="435"/>
      <c r="AT128" s="992"/>
    </row>
    <row r="129" spans="1:46" ht="47.25" customHeight="1" x14ac:dyDescent="0.25">
      <c r="A129" s="15">
        <v>4</v>
      </c>
      <c r="B129" s="15">
        <v>123</v>
      </c>
      <c r="C129" s="439"/>
      <c r="D129" s="439" t="str">
        <f t="shared" si="13"/>
        <v>2013</v>
      </c>
      <c r="E129" s="139" t="s">
        <v>178</v>
      </c>
      <c r="F129" s="132" t="s">
        <v>33</v>
      </c>
      <c r="G129" s="133">
        <v>860509265</v>
      </c>
      <c r="H129" s="1024" t="s">
        <v>477</v>
      </c>
      <c r="I129" s="160">
        <v>795000</v>
      </c>
      <c r="J129" s="876" t="s">
        <v>4086</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2" t="str">
        <f>IFERROR(VLOOKUP(E129,'liquidaciones '!$B$2:$C$1048576,2,0),"NO")</f>
        <v>LIQUIDADO</v>
      </c>
      <c r="AO129" s="972">
        <f>IFERROR(VLOOKUP(E129,'liquidaciones '!$B$2:$I$1048576,8,0),"")</f>
        <v>0</v>
      </c>
      <c r="AP129" s="339">
        <v>42307</v>
      </c>
      <c r="AQ129" s="177" t="str">
        <f t="shared" ca="1" si="23"/>
        <v>NO</v>
      </c>
      <c r="AR129" s="177" t="s">
        <v>1511</v>
      </c>
      <c r="AS129" s="435"/>
      <c r="AT129" s="992"/>
    </row>
    <row r="130" spans="1:46" ht="47.25" customHeight="1" x14ac:dyDescent="0.25">
      <c r="A130" s="15">
        <v>4</v>
      </c>
      <c r="B130" s="15">
        <v>124</v>
      </c>
      <c r="C130" s="439"/>
      <c r="D130" s="439" t="str">
        <f t="shared" si="13"/>
        <v>2013</v>
      </c>
      <c r="E130" s="139" t="s">
        <v>189</v>
      </c>
      <c r="F130" s="132" t="s">
        <v>13</v>
      </c>
      <c r="G130" s="133">
        <v>860007590</v>
      </c>
      <c r="H130" s="1024" t="s">
        <v>478</v>
      </c>
      <c r="I130" s="140">
        <v>936000</v>
      </c>
      <c r="J130" s="134" t="s">
        <v>1088</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2" t="str">
        <f>IFERROR(VLOOKUP(E130,'liquidaciones '!$B$2:$C$1048576,2,0),"NO")</f>
        <v>NO</v>
      </c>
      <c r="AO130" s="972" t="str">
        <f>IFERROR(VLOOKUP(E130,'liquidaciones '!$B$2:$I$1048576,8,0),"")</f>
        <v/>
      </c>
      <c r="AP130" s="339"/>
      <c r="AQ130" s="177" t="str">
        <f t="shared" ca="1" si="23"/>
        <v>NO</v>
      </c>
      <c r="AR130" s="177" t="s">
        <v>1511</v>
      </c>
      <c r="AS130" s="435"/>
      <c r="AT130" s="992"/>
    </row>
    <row r="131" spans="1:46" ht="47.25" customHeight="1" x14ac:dyDescent="0.25">
      <c r="A131" s="15">
        <v>4</v>
      </c>
      <c r="B131" s="15">
        <v>125</v>
      </c>
      <c r="C131" s="439"/>
      <c r="D131" s="439" t="str">
        <f t="shared" si="13"/>
        <v>2013</v>
      </c>
      <c r="E131" s="142" t="s">
        <v>168</v>
      </c>
      <c r="F131" s="132" t="s">
        <v>169</v>
      </c>
      <c r="G131" s="133">
        <v>1016050827</v>
      </c>
      <c r="H131" s="1024"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2" t="str">
        <f>IFERROR(VLOOKUP(E131,'liquidaciones '!$B$2:$C$1048576,2,0),"NO")</f>
        <v>EN TRÁMITE</v>
      </c>
      <c r="AO131" s="972">
        <f>IFERROR(VLOOKUP(E131,'liquidaciones '!$B$2:$I$1048576,8,0),"")</f>
        <v>0</v>
      </c>
      <c r="AP131" s="339"/>
      <c r="AQ131" s="177" t="str">
        <f t="shared" ca="1" si="23"/>
        <v>NO</v>
      </c>
      <c r="AR131" s="177" t="s">
        <v>1166</v>
      </c>
      <c r="AS131" s="435"/>
      <c r="AT131" s="992"/>
    </row>
    <row r="132" spans="1:46" ht="47.25" customHeight="1" x14ac:dyDescent="0.25">
      <c r="A132" s="15">
        <v>4</v>
      </c>
      <c r="B132" s="15">
        <v>126</v>
      </c>
      <c r="C132" s="439"/>
      <c r="D132" s="439" t="str">
        <f t="shared" si="13"/>
        <v>2013</v>
      </c>
      <c r="E132" s="139" t="s">
        <v>172</v>
      </c>
      <c r="F132" s="132" t="s">
        <v>152</v>
      </c>
      <c r="G132" s="133">
        <v>800015583</v>
      </c>
      <c r="H132" s="1024"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2" t="str">
        <f>IFERROR(VLOOKUP(E132,'liquidaciones '!$B$2:$C$1048576,2,0),"NO")</f>
        <v>NO</v>
      </c>
      <c r="AO132" s="972" t="str">
        <f>IFERROR(VLOOKUP(E132,'liquidaciones '!$B$2:$I$1048576,8,0),"")</f>
        <v/>
      </c>
      <c r="AP132" s="339"/>
      <c r="AQ132" s="177" t="str">
        <f t="shared" ca="1" si="23"/>
        <v>NO</v>
      </c>
      <c r="AR132" s="177" t="s">
        <v>1574</v>
      </c>
      <c r="AS132" s="435"/>
      <c r="AT132" s="992"/>
    </row>
    <row r="133" spans="1:46" ht="47.25" customHeight="1" x14ac:dyDescent="0.25">
      <c r="A133" s="15">
        <v>4</v>
      </c>
      <c r="B133" s="15">
        <v>127</v>
      </c>
      <c r="C133" s="439"/>
      <c r="D133" s="439" t="str">
        <f t="shared" si="13"/>
        <v>2013</v>
      </c>
      <c r="E133" s="139" t="s">
        <v>173</v>
      </c>
      <c r="F133" s="132" t="s">
        <v>174</v>
      </c>
      <c r="G133" s="133">
        <v>830047489</v>
      </c>
      <c r="H133" s="1024"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2" t="str">
        <f>IFERROR(VLOOKUP(E133,'liquidaciones '!$B$2:$C$1048576,2,0),"NO")</f>
        <v>LIQUIDADO</v>
      </c>
      <c r="AO133" s="972">
        <f>IFERROR(VLOOKUP(E133,'liquidaciones '!$B$2:$I$1048576,8,0),"")</f>
        <v>0</v>
      </c>
      <c r="AP133" s="339">
        <v>42025</v>
      </c>
      <c r="AQ133" s="177" t="str">
        <f t="shared" ca="1" si="23"/>
        <v>NO</v>
      </c>
      <c r="AR133" s="177" t="s">
        <v>1056</v>
      </c>
      <c r="AS133" s="435"/>
      <c r="AT133" s="992"/>
    </row>
    <row r="134" spans="1:46" ht="47.25" customHeight="1" x14ac:dyDescent="0.25">
      <c r="A134" s="15">
        <v>4</v>
      </c>
      <c r="B134" s="15">
        <v>128</v>
      </c>
      <c r="C134" s="439"/>
      <c r="D134" s="439" t="str">
        <f t="shared" si="13"/>
        <v>2013</v>
      </c>
      <c r="E134" s="139" t="s">
        <v>187</v>
      </c>
      <c r="F134" s="132" t="s">
        <v>188</v>
      </c>
      <c r="G134" s="143">
        <v>900055635</v>
      </c>
      <c r="H134" s="1024"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2" t="str">
        <f>IFERROR(VLOOKUP(E134,'liquidaciones '!$B$2:$C$1048576,2,0),"NO")</f>
        <v>EN TRÁMITE</v>
      </c>
      <c r="AO134" s="972">
        <f>IFERROR(VLOOKUP(E134,'liquidaciones '!$B$2:$I$1048576,8,0),"")</f>
        <v>0</v>
      </c>
      <c r="AP134" s="339"/>
      <c r="AQ134" s="177" t="str">
        <f t="shared" ca="1" si="23"/>
        <v>NO</v>
      </c>
      <c r="AR134" s="177" t="s">
        <v>1573</v>
      </c>
      <c r="AS134" s="435"/>
      <c r="AT134" s="992"/>
    </row>
    <row r="135" spans="1:46" ht="47.25" customHeight="1" x14ac:dyDescent="0.25">
      <c r="A135" s="15">
        <v>4</v>
      </c>
      <c r="B135" s="15">
        <v>129</v>
      </c>
      <c r="C135" s="439"/>
      <c r="D135" s="439" t="str">
        <f t="shared" ref="D135:D198" si="25">K135&amp;C135</f>
        <v>2013</v>
      </c>
      <c r="E135" s="139" t="s">
        <v>183</v>
      </c>
      <c r="F135" s="132" t="s">
        <v>184</v>
      </c>
      <c r="G135" s="133">
        <v>800230639</v>
      </c>
      <c r="H135" s="1024"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2" t="str">
        <f>IFERROR(VLOOKUP(E135,'liquidaciones '!$B$2:$C$1048576,2,0),"NO")</f>
        <v>EN TRÁMITE</v>
      </c>
      <c r="AO135" s="972">
        <f>IFERROR(VLOOKUP(E135,'liquidaciones '!$B$2:$I$1048576,8,0),"")</f>
        <v>0</v>
      </c>
      <c r="AP135" s="339"/>
      <c r="AQ135" s="177" t="str">
        <f t="shared" ca="1" si="23"/>
        <v>NO</v>
      </c>
      <c r="AR135" s="177" t="s">
        <v>1995</v>
      </c>
      <c r="AS135" s="435"/>
      <c r="AT135" s="992"/>
    </row>
    <row r="136" spans="1:46" ht="47.25" customHeight="1" x14ac:dyDescent="0.25">
      <c r="A136" s="15">
        <v>4</v>
      </c>
      <c r="B136" s="15">
        <v>130</v>
      </c>
      <c r="C136" s="439"/>
      <c r="D136" s="439" t="str">
        <f t="shared" si="25"/>
        <v>2013</v>
      </c>
      <c r="E136" s="139" t="s">
        <v>185</v>
      </c>
      <c r="F136" s="132" t="s">
        <v>186</v>
      </c>
      <c r="G136" s="143">
        <v>800039398</v>
      </c>
      <c r="H136" s="1024"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2" t="str">
        <f>IFERROR(VLOOKUP(E136,'liquidaciones '!$B$2:$C$1048576,2,0),"NO")</f>
        <v>LIQUIDADO</v>
      </c>
      <c r="AO136" s="972">
        <f>IFERROR(VLOOKUP(E136,'liquidaciones '!$B$2:$I$1048576,8,0),"")</f>
        <v>0</v>
      </c>
      <c r="AP136" s="339">
        <v>42004</v>
      </c>
      <c r="AQ136" s="177" t="str">
        <f t="shared" ca="1" si="23"/>
        <v>NO</v>
      </c>
      <c r="AR136" s="177" t="s">
        <v>981</v>
      </c>
      <c r="AS136" s="435"/>
      <c r="AT136" s="992"/>
    </row>
    <row r="137" spans="1:46" ht="47.25" customHeight="1" x14ac:dyDescent="0.25">
      <c r="A137" s="15">
        <v>4</v>
      </c>
      <c r="B137" s="15">
        <v>131</v>
      </c>
      <c r="C137" s="439"/>
      <c r="D137" s="439" t="str">
        <f t="shared" si="25"/>
        <v>2013</v>
      </c>
      <c r="E137" s="161" t="s">
        <v>195</v>
      </c>
      <c r="F137" s="132" t="s">
        <v>1037</v>
      </c>
      <c r="G137" s="133">
        <v>860066942</v>
      </c>
      <c r="H137" s="1024"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2" t="str">
        <f>IFERROR(VLOOKUP(E137,'liquidaciones '!$B$2:$C$1048576,2,0),"NO")</f>
        <v>LIQUIDADO</v>
      </c>
      <c r="AO137" s="972">
        <f>IFERROR(VLOOKUP(E137,'liquidaciones '!$B$2:$I$1048576,8,0),"")</f>
        <v>0</v>
      </c>
      <c r="AP137" s="339">
        <v>42004</v>
      </c>
      <c r="AQ137" s="177" t="str">
        <f t="shared" ca="1" si="23"/>
        <v>NO</v>
      </c>
      <c r="AR137" s="177" t="s">
        <v>983</v>
      </c>
      <c r="AS137" s="435"/>
      <c r="AT137" s="992"/>
    </row>
    <row r="138" spans="1:46" ht="47.25" customHeight="1" x14ac:dyDescent="0.25">
      <c r="A138" s="15">
        <v>4</v>
      </c>
      <c r="B138" s="15">
        <v>132</v>
      </c>
      <c r="C138" s="439"/>
      <c r="D138" s="439" t="str">
        <f t="shared" si="25"/>
        <v>2013</v>
      </c>
      <c r="E138" s="139" t="s">
        <v>191</v>
      </c>
      <c r="F138" s="132" t="s">
        <v>192</v>
      </c>
      <c r="G138" s="143">
        <v>800105847</v>
      </c>
      <c r="H138" s="1024"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2" t="str">
        <f>IFERROR(VLOOKUP(E138,'liquidaciones '!$B$2:$C$1048576,2,0),"NO")</f>
        <v>NO</v>
      </c>
      <c r="AO138" s="972" t="str">
        <f>IFERROR(VLOOKUP(E138,'liquidaciones '!$B$2:$I$1048576,8,0),"")</f>
        <v/>
      </c>
      <c r="AP138" s="335">
        <v>41900</v>
      </c>
      <c r="AQ138" s="177" t="str">
        <f t="shared" ca="1" si="23"/>
        <v>NO</v>
      </c>
      <c r="AR138" s="177" t="s">
        <v>1152</v>
      </c>
      <c r="AS138" s="435"/>
      <c r="AT138" s="992"/>
    </row>
    <row r="139" spans="1:46" ht="47.25" customHeight="1" x14ac:dyDescent="0.25">
      <c r="A139" s="15">
        <v>4</v>
      </c>
      <c r="B139" s="15">
        <v>133</v>
      </c>
      <c r="C139" s="439"/>
      <c r="D139" s="439" t="str">
        <f t="shared" si="25"/>
        <v>2013</v>
      </c>
      <c r="E139" s="344" t="s">
        <v>199</v>
      </c>
      <c r="F139" s="132" t="s">
        <v>1038</v>
      </c>
      <c r="G139" s="133">
        <v>899999230</v>
      </c>
      <c r="H139" s="1024"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2" t="str">
        <f>IFERROR(VLOOKUP(E139,'liquidaciones '!$B$2:$C$1048576,2,0),"NO")</f>
        <v>LIQUIDADO</v>
      </c>
      <c r="AO139" s="972">
        <f>IFERROR(VLOOKUP(E139,'liquidaciones '!$B$2:$I$1048576,8,0),"")</f>
        <v>0</v>
      </c>
      <c r="AP139" s="339">
        <v>42094</v>
      </c>
      <c r="AQ139" s="177" t="str">
        <f t="shared" ca="1" si="23"/>
        <v>NO</v>
      </c>
      <c r="AR139" s="177" t="s">
        <v>982</v>
      </c>
      <c r="AS139" s="435"/>
      <c r="AT139" s="992"/>
    </row>
    <row r="140" spans="1:46" ht="47.25" customHeight="1" x14ac:dyDescent="0.25">
      <c r="A140" s="15">
        <v>4</v>
      </c>
      <c r="B140" s="15">
        <v>134</v>
      </c>
      <c r="C140" s="439"/>
      <c r="D140" s="439" t="str">
        <f t="shared" si="25"/>
        <v>2013</v>
      </c>
      <c r="E140" s="139" t="s">
        <v>177</v>
      </c>
      <c r="F140" s="132" t="s">
        <v>1039</v>
      </c>
      <c r="G140" s="133">
        <v>900207129</v>
      </c>
      <c r="H140" s="1024"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2" t="str">
        <f>IFERROR(VLOOKUP(E140,'liquidaciones '!$B$2:$C$1048576,2,0),"NO")</f>
        <v>LIQUIDADO</v>
      </c>
      <c r="AO140" s="972">
        <f>IFERROR(VLOOKUP(E140,'liquidaciones '!$B$2:$I$1048576,8,0),"")</f>
        <v>0</v>
      </c>
      <c r="AP140" s="339">
        <v>42030</v>
      </c>
      <c r="AQ140" s="177" t="str">
        <f t="shared" ca="1" si="23"/>
        <v>NO</v>
      </c>
      <c r="AR140" s="177" t="s">
        <v>983</v>
      </c>
      <c r="AS140" s="435"/>
      <c r="AT140" s="992"/>
    </row>
    <row r="141" spans="1:46" ht="47.25" customHeight="1" x14ac:dyDescent="0.25">
      <c r="A141" s="15">
        <v>4</v>
      </c>
      <c r="B141" s="15">
        <v>135</v>
      </c>
      <c r="C141" s="439"/>
      <c r="D141" s="439" t="str">
        <f t="shared" si="25"/>
        <v>2013</v>
      </c>
      <c r="E141" s="139" t="s">
        <v>193</v>
      </c>
      <c r="F141" s="132" t="s">
        <v>194</v>
      </c>
      <c r="G141" s="143">
        <v>830069296</v>
      </c>
      <c r="H141" s="1024"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2" t="str">
        <f>IFERROR(VLOOKUP(E141,'liquidaciones '!$B$2:$C$1048576,2,0),"NO")</f>
        <v>LIQUIDADO</v>
      </c>
      <c r="AO141" s="972">
        <f>IFERROR(VLOOKUP(E141,'liquidaciones '!$B$2:$I$1048576,8,0),"")</f>
        <v>0</v>
      </c>
      <c r="AP141" s="339">
        <v>42013</v>
      </c>
      <c r="AQ141" s="177" t="str">
        <f t="shared" ca="1" si="23"/>
        <v>NO</v>
      </c>
      <c r="AR141" s="177" t="s">
        <v>981</v>
      </c>
      <c r="AS141" s="435"/>
      <c r="AT141" s="992"/>
    </row>
    <row r="142" spans="1:46" ht="47.25" customHeight="1" x14ac:dyDescent="0.25">
      <c r="A142" s="15">
        <v>4</v>
      </c>
      <c r="B142" s="15">
        <v>136</v>
      </c>
      <c r="C142" s="439"/>
      <c r="D142" s="439" t="str">
        <f t="shared" si="25"/>
        <v>2013</v>
      </c>
      <c r="E142" s="139" t="s">
        <v>196</v>
      </c>
      <c r="F142" s="155" t="s">
        <v>22</v>
      </c>
      <c r="G142" s="133">
        <v>830112518</v>
      </c>
      <c r="H142" s="1024"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2" t="str">
        <f>IFERROR(VLOOKUP(E142,'liquidaciones '!$B$2:$C$1048576,2,0),"NO")</f>
        <v>NO</v>
      </c>
      <c r="AO142" s="972" t="str">
        <f>IFERROR(VLOOKUP(E142,'liquidaciones '!$B$2:$I$1048576,8,0),"")</f>
        <v/>
      </c>
      <c r="AP142" s="339">
        <v>42059</v>
      </c>
      <c r="AQ142" s="177" t="str">
        <f t="shared" ca="1" si="23"/>
        <v>NO</v>
      </c>
      <c r="AR142" s="177" t="s">
        <v>981</v>
      </c>
      <c r="AS142" s="435"/>
      <c r="AT142" s="992"/>
    </row>
    <row r="143" spans="1:46" ht="47.25" customHeight="1" x14ac:dyDescent="0.25">
      <c r="A143" s="15">
        <v>4</v>
      </c>
      <c r="B143" s="15">
        <v>137</v>
      </c>
      <c r="C143" s="439"/>
      <c r="D143" s="439" t="str">
        <f t="shared" si="25"/>
        <v>2013</v>
      </c>
      <c r="E143" s="139" t="s">
        <v>200</v>
      </c>
      <c r="F143" s="132" t="s">
        <v>201</v>
      </c>
      <c r="G143" s="133">
        <v>900309238</v>
      </c>
      <c r="H143" s="1024" t="s">
        <v>488</v>
      </c>
      <c r="I143" s="140">
        <v>26073552</v>
      </c>
      <c r="J143" s="876" t="s">
        <v>4334</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2" t="str">
        <f>IFERROR(VLOOKUP(E143,'liquidaciones '!$B$2:$C$1048576,2,0),"NO")</f>
        <v>LIQUIDADO</v>
      </c>
      <c r="AO143" s="972">
        <f>IFERROR(VLOOKUP(E143,'liquidaciones '!$B$2:$I$1048576,8,0),"")</f>
        <v>0</v>
      </c>
      <c r="AP143" s="339">
        <v>41872</v>
      </c>
      <c r="AQ143" s="177" t="str">
        <f t="shared" ref="AQ143:AQ206" ca="1" si="35">IF((TODAY()-T143&lt;900),"SI","NO")</f>
        <v>NO</v>
      </c>
      <c r="AR143" s="177" t="s">
        <v>983</v>
      </c>
      <c r="AS143" s="435"/>
      <c r="AT143" s="992"/>
    </row>
    <row r="144" spans="1:46" ht="47.25" customHeight="1" x14ac:dyDescent="0.25">
      <c r="A144" s="15">
        <v>4</v>
      </c>
      <c r="B144" s="15">
        <v>138</v>
      </c>
      <c r="C144" s="439"/>
      <c r="D144" s="439" t="str">
        <f t="shared" si="25"/>
        <v>2013</v>
      </c>
      <c r="E144" s="139" t="s">
        <v>204</v>
      </c>
      <c r="F144" s="132" t="s">
        <v>205</v>
      </c>
      <c r="G144" s="133">
        <v>900542684</v>
      </c>
      <c r="H144" s="1024" t="s">
        <v>489</v>
      </c>
      <c r="I144" s="140">
        <v>17262940</v>
      </c>
      <c r="J144" s="876" t="s">
        <v>4019</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2" t="str">
        <f>IFERROR(VLOOKUP(E144,'liquidaciones '!$B$2:$C$1048576,2,0),"NO")</f>
        <v>LIQUIDADO</v>
      </c>
      <c r="AO144" s="972">
        <f>IFERROR(VLOOKUP(E144,'liquidaciones '!$B$2:$I$1048576,8,0),"")</f>
        <v>0</v>
      </c>
      <c r="AP144" s="339">
        <v>42004</v>
      </c>
      <c r="AQ144" s="177" t="str">
        <f t="shared" ca="1" si="35"/>
        <v>NO</v>
      </c>
      <c r="AR144" s="177" t="s">
        <v>983</v>
      </c>
      <c r="AS144" s="435"/>
      <c r="AT144" s="992"/>
    </row>
    <row r="145" spans="1:46" ht="47.25" customHeight="1" x14ac:dyDescent="0.25">
      <c r="A145" s="15">
        <v>4</v>
      </c>
      <c r="B145" s="15">
        <v>139</v>
      </c>
      <c r="C145" s="439"/>
      <c r="D145" s="439" t="str">
        <f t="shared" si="25"/>
        <v>2013</v>
      </c>
      <c r="E145" s="139" t="s">
        <v>206</v>
      </c>
      <c r="F145" s="132" t="s">
        <v>1020</v>
      </c>
      <c r="G145" s="133">
        <v>900169179</v>
      </c>
      <c r="H145" s="1024"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2" t="str">
        <f>IFERROR(VLOOKUP(E145,'liquidaciones '!$B$2:$C$1048576,2,0),"NO")</f>
        <v>LIQUIDADO</v>
      </c>
      <c r="AO145" s="972">
        <f>IFERROR(VLOOKUP(E145,'liquidaciones '!$B$2:$I$1048576,8,0),"")</f>
        <v>0</v>
      </c>
      <c r="AP145" s="339"/>
      <c r="AQ145" s="177" t="str">
        <f t="shared" ca="1" si="35"/>
        <v>NO</v>
      </c>
      <c r="AR145" s="177" t="s">
        <v>1511</v>
      </c>
      <c r="AS145" s="435"/>
      <c r="AT145" s="992"/>
    </row>
    <row r="146" spans="1:46" ht="54" customHeight="1" x14ac:dyDescent="0.25">
      <c r="B146" s="15">
        <v>140</v>
      </c>
      <c r="C146" s="439"/>
      <c r="D146" s="439" t="str">
        <f t="shared" si="25"/>
        <v>2013</v>
      </c>
      <c r="E146" s="139" t="s">
        <v>211</v>
      </c>
      <c r="F146" s="132" t="s">
        <v>212</v>
      </c>
      <c r="G146" s="133">
        <v>830080652</v>
      </c>
      <c r="H146" s="1024"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2" t="str">
        <f>IFERROR(VLOOKUP(E146,'liquidaciones '!$B$2:$C$1048576,2,0),"NO")</f>
        <v>LIQUIDADO</v>
      </c>
      <c r="AO146" s="972">
        <f>IFERROR(VLOOKUP(E146,'liquidaciones '!$B$2:$I$1048576,8,0),"")</f>
        <v>0</v>
      </c>
      <c r="AP146" s="339"/>
      <c r="AQ146" s="177" t="str">
        <f t="shared" ca="1" si="35"/>
        <v>NO</v>
      </c>
      <c r="AR146" s="177" t="s">
        <v>1166</v>
      </c>
      <c r="AS146" s="435"/>
      <c r="AT146" s="992"/>
    </row>
    <row r="147" spans="1:46" ht="47.25" customHeight="1" x14ac:dyDescent="0.25">
      <c r="A147" s="15">
        <v>4</v>
      </c>
      <c r="B147" s="15">
        <v>141</v>
      </c>
      <c r="C147" s="439"/>
      <c r="D147" s="439" t="str">
        <f t="shared" si="25"/>
        <v>2013</v>
      </c>
      <c r="E147" s="139" t="s">
        <v>209</v>
      </c>
      <c r="F147" s="132" t="s">
        <v>210</v>
      </c>
      <c r="G147" s="133">
        <v>900236701</v>
      </c>
      <c r="H147" s="1024"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2" t="str">
        <f>IFERROR(VLOOKUP(E147,'liquidaciones '!$B$2:$C$1048576,2,0),"NO")</f>
        <v>NO</v>
      </c>
      <c r="AO147" s="972" t="str">
        <f>IFERROR(VLOOKUP(E147,'liquidaciones '!$B$2:$I$1048576,8,0),"")</f>
        <v/>
      </c>
      <c r="AP147" s="339">
        <v>41979</v>
      </c>
      <c r="AQ147" s="177" t="str">
        <f t="shared" ca="1" si="35"/>
        <v>NO</v>
      </c>
      <c r="AR147" s="177" t="s">
        <v>983</v>
      </c>
      <c r="AS147" s="435"/>
      <c r="AT147" s="992"/>
    </row>
    <row r="148" spans="1:46" ht="47.25" customHeight="1" x14ac:dyDescent="0.25">
      <c r="A148" s="15">
        <v>4</v>
      </c>
      <c r="B148" s="15">
        <v>142</v>
      </c>
      <c r="C148" s="439"/>
      <c r="D148" s="439" t="str">
        <f t="shared" si="25"/>
        <v>2013</v>
      </c>
      <c r="E148" s="139" t="s">
        <v>207</v>
      </c>
      <c r="F148" s="132" t="s">
        <v>208</v>
      </c>
      <c r="G148" s="133">
        <v>860066942</v>
      </c>
      <c r="H148" s="1024" t="s">
        <v>492</v>
      </c>
      <c r="I148" s="140">
        <v>336560000</v>
      </c>
      <c r="J148" s="876" t="s">
        <v>4089</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2" t="str">
        <f>IFERROR(VLOOKUP(E148,'liquidaciones '!$B$2:$C$1048576,2,0),"NO")</f>
        <v>LIQUIDADO</v>
      </c>
      <c r="AO148" s="972">
        <f>IFERROR(VLOOKUP(E148,'liquidaciones '!$B$2:$I$1048576,8,0),"")</f>
        <v>0</v>
      </c>
      <c r="AP148" s="339">
        <v>42279</v>
      </c>
      <c r="AQ148" s="177" t="str">
        <f t="shared" ca="1" si="35"/>
        <v>NO</v>
      </c>
      <c r="AR148" s="177" t="s">
        <v>1166</v>
      </c>
      <c r="AS148" s="435"/>
      <c r="AT148" s="992"/>
    </row>
    <row r="149" spans="1:46" ht="95.25" customHeight="1" x14ac:dyDescent="0.25">
      <c r="B149" s="15">
        <v>143</v>
      </c>
      <c r="C149" s="439"/>
      <c r="D149" s="439" t="str">
        <f t="shared" si="25"/>
        <v>2013</v>
      </c>
      <c r="E149" s="139" t="s">
        <v>213</v>
      </c>
      <c r="F149" s="132" t="s">
        <v>1040</v>
      </c>
      <c r="G149" s="133">
        <v>900228623</v>
      </c>
      <c r="H149" s="1024"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2" t="str">
        <f>IFERROR(VLOOKUP(E149,'liquidaciones '!$B$2:$C$1048576,2,0),"NO")</f>
        <v>EN TRÁMITE</v>
      </c>
      <c r="AO149" s="972">
        <f>IFERROR(VLOOKUP(E149,'liquidaciones '!$B$2:$I$1048576,8,0),"")</f>
        <v>0</v>
      </c>
      <c r="AP149" s="339"/>
      <c r="AQ149" s="177" t="str">
        <f t="shared" ca="1" si="35"/>
        <v>NO</v>
      </c>
      <c r="AR149" s="177" t="s">
        <v>982</v>
      </c>
      <c r="AS149" s="435"/>
      <c r="AT149" s="992"/>
    </row>
    <row r="150" spans="1:46" ht="47.25" customHeight="1" x14ac:dyDescent="0.25">
      <c r="B150" s="15">
        <v>144</v>
      </c>
      <c r="C150" s="439"/>
      <c r="D150" s="439" t="str">
        <f t="shared" si="25"/>
        <v>2013</v>
      </c>
      <c r="E150" s="139" t="s">
        <v>857</v>
      </c>
      <c r="F150" s="132" t="s">
        <v>1339</v>
      </c>
      <c r="G150" s="133"/>
      <c r="H150" s="1024"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2280</v>
      </c>
      <c r="AK150" s="181" t="str">
        <f t="shared" ca="1" si="34"/>
        <v>TERMINO</v>
      </c>
      <c r="AL150" s="181" t="s">
        <v>582</v>
      </c>
      <c r="AM150" s="176" t="s">
        <v>390</v>
      </c>
      <c r="AN150" s="872" t="str">
        <f>IFERROR(VLOOKUP(E150,'liquidaciones '!$B$2:$C$1048576,2,0),"NO")</f>
        <v>NO</v>
      </c>
      <c r="AO150" s="972" t="str">
        <f>IFERROR(VLOOKUP(E150,'liquidaciones '!$B$2:$I$1048576,8,0),"")</f>
        <v/>
      </c>
      <c r="AP150" s="339"/>
      <c r="AQ150" s="177" t="str">
        <f t="shared" ca="1" si="35"/>
        <v>NO</v>
      </c>
      <c r="AR150" s="177"/>
      <c r="AS150" s="435"/>
      <c r="AT150" s="992"/>
    </row>
    <row r="151" spans="1:46" ht="70.5" customHeight="1" x14ac:dyDescent="0.25">
      <c r="B151" s="15">
        <v>145</v>
      </c>
      <c r="C151" s="439"/>
      <c r="D151" s="439" t="str">
        <f t="shared" si="25"/>
        <v>2013</v>
      </c>
      <c r="E151" s="139" t="s">
        <v>258</v>
      </c>
      <c r="F151" s="132" t="s">
        <v>259</v>
      </c>
      <c r="G151" s="137">
        <v>899999061</v>
      </c>
      <c r="H151" s="1024"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2" t="str">
        <f>IFERROR(VLOOKUP(E151,'liquidaciones '!$B$2:$C$1048576,2,0),"NO")</f>
        <v>NO</v>
      </c>
      <c r="AO151" s="972" t="str">
        <f>IFERROR(VLOOKUP(E151,'liquidaciones '!$B$2:$I$1048576,8,0),"")</f>
        <v/>
      </c>
      <c r="AP151" s="339"/>
      <c r="AQ151" s="177" t="str">
        <f t="shared" ca="1" si="35"/>
        <v>NO</v>
      </c>
      <c r="AR151" s="177" t="s">
        <v>1995</v>
      </c>
      <c r="AS151" s="435"/>
      <c r="AT151" s="992"/>
    </row>
    <row r="152" spans="1:46" ht="94.5" customHeight="1" x14ac:dyDescent="0.25">
      <c r="A152" s="15">
        <v>1</v>
      </c>
      <c r="B152" s="15">
        <v>146</v>
      </c>
      <c r="C152" s="439"/>
      <c r="D152" s="439" t="str">
        <f t="shared" si="25"/>
        <v>2012</v>
      </c>
      <c r="E152" s="132" t="s">
        <v>76</v>
      </c>
      <c r="F152" s="132" t="s">
        <v>77</v>
      </c>
      <c r="G152" s="143">
        <v>860506170</v>
      </c>
      <c r="H152" s="1024" t="s">
        <v>417</v>
      </c>
      <c r="I152" s="134">
        <v>2689440000</v>
      </c>
      <c r="J152" s="876" t="s">
        <v>2853</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2" t="str">
        <f>IFERROR(VLOOKUP(E152,'liquidaciones '!$B$2:$C$1048576,2,0),"NO")</f>
        <v>NO</v>
      </c>
      <c r="AO152" s="972" t="str">
        <f>IFERROR(VLOOKUP(E152,'liquidaciones '!$B$2:$I$1048576,8,0),"")</f>
        <v/>
      </c>
      <c r="AP152" s="339"/>
      <c r="AQ152" s="177" t="str">
        <f t="shared" ca="1" si="35"/>
        <v>SI</v>
      </c>
      <c r="AR152" s="995" t="s">
        <v>4277</v>
      </c>
      <c r="AS152" s="995"/>
      <c r="AT152" s="995" t="s">
        <v>3968</v>
      </c>
    </row>
    <row r="153" spans="1:46" ht="63.75" customHeight="1" x14ac:dyDescent="0.25">
      <c r="B153" s="15">
        <v>147</v>
      </c>
      <c r="C153" s="439"/>
      <c r="D153" s="439" t="str">
        <f t="shared" si="25"/>
        <v>2013</v>
      </c>
      <c r="E153" s="139" t="s">
        <v>234</v>
      </c>
      <c r="F153" s="132" t="s">
        <v>235</v>
      </c>
      <c r="G153" s="133">
        <v>830110570</v>
      </c>
      <c r="H153" s="1024" t="s">
        <v>367</v>
      </c>
      <c r="I153" s="140">
        <v>430036764</v>
      </c>
      <c r="J153" s="134" t="s">
        <v>1088</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2" t="str">
        <f>IFERROR(VLOOKUP(E153,'liquidaciones '!$B$2:$C$1048576,2,0),"NO")</f>
        <v>LIQUIDADO</v>
      </c>
      <c r="AO153" s="972">
        <f>IFERROR(VLOOKUP(E153,'liquidaciones '!$B$2:$I$1048576,8,0),"")</f>
        <v>0</v>
      </c>
      <c r="AP153" s="339">
        <v>42059</v>
      </c>
      <c r="AQ153" s="177" t="str">
        <f t="shared" ca="1" si="35"/>
        <v>NO</v>
      </c>
      <c r="AR153" s="177" t="s">
        <v>981</v>
      </c>
      <c r="AS153" s="435"/>
      <c r="AT153" s="992"/>
    </row>
    <row r="154" spans="1:46" ht="47.25" customHeight="1" x14ac:dyDescent="0.25">
      <c r="B154" s="15">
        <v>148</v>
      </c>
      <c r="C154" s="439"/>
      <c r="D154" s="439" t="str">
        <f t="shared" si="25"/>
        <v>2013</v>
      </c>
      <c r="E154" s="139" t="s">
        <v>214</v>
      </c>
      <c r="F154" s="132" t="s">
        <v>31</v>
      </c>
      <c r="G154" s="133">
        <v>80725449</v>
      </c>
      <c r="H154" s="1024"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2" t="str">
        <f>IFERROR(VLOOKUP(E154,'liquidaciones '!$B$2:$C$1048576,2,0),"NO")</f>
        <v>LIQUIDADO</v>
      </c>
      <c r="AO154" s="972">
        <f>IFERROR(VLOOKUP(E154,'liquidaciones '!$B$2:$I$1048576,8,0),"")</f>
        <v>0</v>
      </c>
      <c r="AP154" s="339">
        <v>41817</v>
      </c>
      <c r="AQ154" s="177" t="str">
        <f t="shared" ca="1" si="35"/>
        <v>NO</v>
      </c>
      <c r="AR154" s="177" t="s">
        <v>1056</v>
      </c>
      <c r="AS154" s="435"/>
      <c r="AT154" s="992"/>
    </row>
    <row r="155" spans="1:46" ht="47.25" customHeight="1" x14ac:dyDescent="0.25">
      <c r="B155" s="15">
        <v>149</v>
      </c>
      <c r="C155" s="439"/>
      <c r="D155" s="439" t="str">
        <f t="shared" si="25"/>
        <v>2013</v>
      </c>
      <c r="E155" s="139" t="s">
        <v>232</v>
      </c>
      <c r="F155" s="132" t="s">
        <v>233</v>
      </c>
      <c r="G155" s="133">
        <v>860536079</v>
      </c>
      <c r="H155" s="1024" t="s">
        <v>496</v>
      </c>
      <c r="I155" s="140">
        <v>7937504</v>
      </c>
      <c r="J155" s="134" t="s">
        <v>1088</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2" t="str">
        <f>IFERROR(VLOOKUP(E155,'liquidaciones '!$B$2:$C$1048576,2,0),"NO")</f>
        <v>EN TRÁMITE</v>
      </c>
      <c r="AO155" s="972">
        <f>IFERROR(VLOOKUP(E155,'liquidaciones '!$B$2:$I$1048576,8,0),"")</f>
        <v>0</v>
      </c>
      <c r="AP155" s="339"/>
      <c r="AQ155" s="177" t="str">
        <f t="shared" ca="1" si="35"/>
        <v>NO</v>
      </c>
      <c r="AR155" s="177" t="s">
        <v>1511</v>
      </c>
      <c r="AS155" s="435"/>
      <c r="AT155" s="992"/>
    </row>
    <row r="156" spans="1:46" ht="47.25" customHeight="1" x14ac:dyDescent="0.25">
      <c r="B156" s="15">
        <v>150</v>
      </c>
      <c r="C156" s="439"/>
      <c r="D156" s="439" t="str">
        <f t="shared" si="25"/>
        <v>2013</v>
      </c>
      <c r="E156" s="139" t="s">
        <v>215</v>
      </c>
      <c r="F156" s="132" t="s">
        <v>1599</v>
      </c>
      <c r="G156" s="133">
        <v>79106019</v>
      </c>
      <c r="H156" s="1024"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2" t="str">
        <f>IFERROR(VLOOKUP(E156,'liquidaciones '!$B$2:$C$1048576,2,0),"NO")</f>
        <v>LIQUIDADO</v>
      </c>
      <c r="AO156" s="972">
        <f>IFERROR(VLOOKUP(E156,'liquidaciones '!$B$2:$I$1048576,8,0),"")</f>
        <v>0</v>
      </c>
      <c r="AP156" s="339">
        <v>42011</v>
      </c>
      <c r="AQ156" s="177" t="str">
        <f t="shared" ca="1" si="35"/>
        <v>NO</v>
      </c>
      <c r="AR156" s="177" t="s">
        <v>1166</v>
      </c>
      <c r="AS156" s="435"/>
      <c r="AT156" s="992"/>
    </row>
    <row r="157" spans="1:46" ht="47.25" customHeight="1" x14ac:dyDescent="0.25">
      <c r="B157" s="15">
        <v>151</v>
      </c>
      <c r="C157" s="439"/>
      <c r="D157" s="439" t="str">
        <f t="shared" si="25"/>
        <v>2013</v>
      </c>
      <c r="E157" s="344" t="s">
        <v>216</v>
      </c>
      <c r="F157" s="132" t="s">
        <v>217</v>
      </c>
      <c r="G157" s="133">
        <v>800064773</v>
      </c>
      <c r="H157" s="1024" t="s">
        <v>1129</v>
      </c>
      <c r="I157" s="140">
        <v>452974000</v>
      </c>
      <c r="J157" s="876" t="s">
        <v>4093</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09"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2" t="str">
        <f>IFERROR(VLOOKUP(E157,'liquidaciones '!$B$2:$C$1048576,2,0),"NO")</f>
        <v>LIQUIDADO</v>
      </c>
      <c r="AO157" s="972">
        <f>IFERROR(VLOOKUP(E157,'liquidaciones '!$B$2:$I$1048576,8,0),"")</f>
        <v>0</v>
      </c>
      <c r="AP157" s="339">
        <v>42256</v>
      </c>
      <c r="AQ157" s="177" t="str">
        <f t="shared" ca="1" si="35"/>
        <v>NO</v>
      </c>
      <c r="AR157" s="177" t="s">
        <v>982</v>
      </c>
      <c r="AS157" s="435"/>
      <c r="AT157" s="992"/>
    </row>
    <row r="158" spans="1:46" ht="47.25" customHeight="1" x14ac:dyDescent="0.25">
      <c r="B158" s="15">
        <v>152</v>
      </c>
      <c r="C158" s="439"/>
      <c r="D158" s="439" t="str">
        <f t="shared" si="25"/>
        <v>2013</v>
      </c>
      <c r="E158" s="139" t="s">
        <v>218</v>
      </c>
      <c r="F158" s="132" t="s">
        <v>219</v>
      </c>
      <c r="G158" s="133">
        <v>830113914</v>
      </c>
      <c r="H158" s="1024"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2" t="str">
        <f>IFERROR(VLOOKUP(E158,'liquidaciones '!$B$2:$C$1048576,2,0),"NO")</f>
        <v>EN TRÁMITE</v>
      </c>
      <c r="AO158" s="972">
        <f>IFERROR(VLOOKUP(E158,'liquidaciones '!$B$2:$I$1048576,8,0),"")</f>
        <v>0</v>
      </c>
      <c r="AP158" s="339"/>
      <c r="AQ158" s="177" t="str">
        <f t="shared" ca="1" si="35"/>
        <v>NO</v>
      </c>
      <c r="AR158" s="177" t="s">
        <v>1511</v>
      </c>
      <c r="AS158" s="435"/>
      <c r="AT158" s="992"/>
    </row>
    <row r="159" spans="1:46" ht="47.25" customHeight="1" x14ac:dyDescent="0.25">
      <c r="B159" s="15">
        <v>153</v>
      </c>
      <c r="C159" s="439"/>
      <c r="D159" s="439" t="str">
        <f t="shared" si="25"/>
        <v>2013</v>
      </c>
      <c r="E159" s="139" t="s">
        <v>220</v>
      </c>
      <c r="F159" s="132" t="s">
        <v>1150</v>
      </c>
      <c r="G159" s="133">
        <v>860007336</v>
      </c>
      <c r="H159" s="1024" t="s">
        <v>497</v>
      </c>
      <c r="I159" s="140">
        <v>63128000</v>
      </c>
      <c r="J159" s="134" t="s">
        <v>1088</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2" t="str">
        <f>IFERROR(VLOOKUP(E159,'liquidaciones '!$B$2:$C$1048576,2,0),"NO")</f>
        <v>NO</v>
      </c>
      <c r="AO159" s="972" t="str">
        <f>IFERROR(VLOOKUP(E159,'liquidaciones '!$B$2:$I$1048576,8,0),"")</f>
        <v/>
      </c>
      <c r="AP159" s="335">
        <v>41872</v>
      </c>
      <c r="AQ159" s="177" t="str">
        <f t="shared" ca="1" si="35"/>
        <v>NO</v>
      </c>
      <c r="AR159" s="177" t="s">
        <v>982</v>
      </c>
      <c r="AS159" s="435"/>
      <c r="AT159" s="992"/>
    </row>
    <row r="160" spans="1:46" ht="47.25" customHeight="1" x14ac:dyDescent="0.25">
      <c r="B160" s="15">
        <v>154</v>
      </c>
      <c r="C160" s="439"/>
      <c r="D160" s="439" t="str">
        <f t="shared" si="25"/>
        <v>2013</v>
      </c>
      <c r="E160" s="139" t="s">
        <v>227</v>
      </c>
      <c r="F160" s="132" t="s">
        <v>228</v>
      </c>
      <c r="G160" s="133">
        <v>52935011</v>
      </c>
      <c r="H160" s="1024" t="s">
        <v>498</v>
      </c>
      <c r="I160" s="140">
        <v>5000000</v>
      </c>
      <c r="J160" s="134" t="s">
        <v>1088</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2" t="str">
        <f>IFERROR(VLOOKUP(E160,'liquidaciones '!$B$2:$C$1048576,2,0),"NO")</f>
        <v>NO</v>
      </c>
      <c r="AO160" s="972" t="str">
        <f>IFERROR(VLOOKUP(E160,'liquidaciones '!$B$2:$I$1048576,8,0),"")</f>
        <v/>
      </c>
      <c r="AP160" s="339"/>
      <c r="AQ160" s="177" t="str">
        <f t="shared" ca="1" si="35"/>
        <v>NO</v>
      </c>
      <c r="AR160" s="177" t="s">
        <v>1166</v>
      </c>
      <c r="AS160" s="435"/>
      <c r="AT160" s="992"/>
    </row>
    <row r="161" spans="2:46" ht="47.25" customHeight="1" x14ac:dyDescent="0.25">
      <c r="B161" s="15">
        <v>155</v>
      </c>
      <c r="C161" s="439"/>
      <c r="D161" s="439" t="str">
        <f t="shared" si="25"/>
        <v>2013</v>
      </c>
      <c r="E161" s="139" t="s">
        <v>223</v>
      </c>
      <c r="F161" s="132" t="s">
        <v>224</v>
      </c>
      <c r="G161" s="133">
        <v>19327657</v>
      </c>
      <c r="H161" s="1024"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2" t="str">
        <f>IFERROR(VLOOKUP(E161,'liquidaciones '!$B$2:$C$1048576,2,0),"NO")</f>
        <v>NO</v>
      </c>
      <c r="AO161" s="972" t="str">
        <f>IFERROR(VLOOKUP(E161,'liquidaciones '!$B$2:$I$1048576,8,0),"")</f>
        <v/>
      </c>
      <c r="AP161" s="339">
        <v>42193</v>
      </c>
      <c r="AQ161" s="177" t="str">
        <f t="shared" ca="1" si="35"/>
        <v>NO</v>
      </c>
      <c r="AR161" s="177" t="s">
        <v>1573</v>
      </c>
      <c r="AS161" s="435"/>
      <c r="AT161" s="992"/>
    </row>
    <row r="162" spans="2:46" ht="47.25" customHeight="1" x14ac:dyDescent="0.25">
      <c r="B162" s="15">
        <v>156</v>
      </c>
      <c r="C162" s="439"/>
      <c r="D162" s="439" t="str">
        <f t="shared" si="25"/>
        <v>2013</v>
      </c>
      <c r="E162" s="139" t="s">
        <v>231</v>
      </c>
      <c r="F162" s="132" t="s">
        <v>1042</v>
      </c>
      <c r="G162" s="133">
        <v>900683150</v>
      </c>
      <c r="H162" s="1024"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2" t="str">
        <f>IFERROR(VLOOKUP(E162,'liquidaciones '!$B$2:$C$1048576,2,0),"NO")</f>
        <v>LIQUIDADO</v>
      </c>
      <c r="AO162" s="972">
        <f>IFERROR(VLOOKUP(E162,'liquidaciones '!$B$2:$I$1048576,8,0),"")</f>
        <v>0</v>
      </c>
      <c r="AP162" s="339">
        <v>42009</v>
      </c>
      <c r="AQ162" s="177" t="str">
        <f t="shared" ca="1" si="35"/>
        <v>NO</v>
      </c>
      <c r="AR162" s="177" t="s">
        <v>1166</v>
      </c>
      <c r="AS162" s="435"/>
      <c r="AT162" s="992"/>
    </row>
    <row r="163" spans="2:46" ht="47.25" customHeight="1" x14ac:dyDescent="0.25">
      <c r="B163" s="15">
        <v>157</v>
      </c>
      <c r="C163" s="439"/>
      <c r="D163" s="439" t="str">
        <f t="shared" si="25"/>
        <v>2013</v>
      </c>
      <c r="E163" s="139" t="s">
        <v>225</v>
      </c>
      <c r="F163" s="132" t="s">
        <v>226</v>
      </c>
      <c r="G163" s="133">
        <v>19136712</v>
      </c>
      <c r="H163" s="1024" t="s">
        <v>498</v>
      </c>
      <c r="I163" s="140">
        <v>5000000</v>
      </c>
      <c r="J163" s="134" t="s">
        <v>1088</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2" t="str">
        <f>IFERROR(VLOOKUP(E163,'liquidaciones '!$B$2:$C$1048576,2,0),"NO")</f>
        <v>LIQUIDADO</v>
      </c>
      <c r="AO163" s="972">
        <f>IFERROR(VLOOKUP(E163,'liquidaciones '!$B$2:$I$1048576,8,0),"")</f>
        <v>0</v>
      </c>
      <c r="AP163" s="339">
        <v>41971</v>
      </c>
      <c r="AQ163" s="177" t="str">
        <f t="shared" ca="1" si="35"/>
        <v>NO</v>
      </c>
      <c r="AR163" s="177" t="s">
        <v>1166</v>
      </c>
      <c r="AS163" s="435"/>
      <c r="AT163" s="992"/>
    </row>
    <row r="164" spans="2:46" ht="47.25" customHeight="1" x14ac:dyDescent="0.25">
      <c r="B164" s="15">
        <v>158</v>
      </c>
      <c r="C164" s="439"/>
      <c r="D164" s="439" t="str">
        <f t="shared" si="25"/>
        <v>2013</v>
      </c>
      <c r="E164" s="139" t="s">
        <v>221</v>
      </c>
      <c r="F164" s="132" t="s">
        <v>222</v>
      </c>
      <c r="G164" s="133">
        <v>7212142</v>
      </c>
      <c r="H164" s="1024" t="s">
        <v>498</v>
      </c>
      <c r="I164" s="140">
        <v>5000000</v>
      </c>
      <c r="J164" s="134" t="s">
        <v>1088</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2" t="str">
        <f>IFERROR(VLOOKUP(E164,'liquidaciones '!$B$2:$C$1048576,2,0),"NO")</f>
        <v>LIQUIDADO</v>
      </c>
      <c r="AO164" s="972">
        <f>IFERROR(VLOOKUP(E164,'liquidaciones '!$B$2:$I$1048576,8,0),"")</f>
        <v>0</v>
      </c>
      <c r="AP164" s="339">
        <v>41919</v>
      </c>
      <c r="AQ164" s="177" t="str">
        <f t="shared" ca="1" si="35"/>
        <v>NO</v>
      </c>
      <c r="AR164" s="177" t="s">
        <v>1166</v>
      </c>
      <c r="AS164" s="435"/>
      <c r="AT164" s="992"/>
    </row>
    <row r="165" spans="2:46" ht="47.25" customHeight="1" x14ac:dyDescent="0.25">
      <c r="B165" s="15">
        <v>159</v>
      </c>
      <c r="C165" s="439"/>
      <c r="D165" s="439" t="str">
        <f t="shared" si="25"/>
        <v>2013</v>
      </c>
      <c r="E165" s="139" t="s">
        <v>242</v>
      </c>
      <c r="F165" s="132" t="s">
        <v>235</v>
      </c>
      <c r="G165" s="133">
        <v>830110570</v>
      </c>
      <c r="H165" s="1024" t="s">
        <v>500</v>
      </c>
      <c r="I165" s="140">
        <v>3017160</v>
      </c>
      <c r="J165" s="134" t="s">
        <v>1088</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2" t="str">
        <f>IFERROR(VLOOKUP(E165,'liquidaciones '!$B$2:$C$1048576,2,0),"NO")</f>
        <v>NO</v>
      </c>
      <c r="AO165" s="972" t="str">
        <f>IFERROR(VLOOKUP(E165,'liquidaciones '!$B$2:$I$1048576,8,0),"")</f>
        <v/>
      </c>
      <c r="AP165" s="341">
        <v>41760</v>
      </c>
      <c r="AQ165" s="177" t="str">
        <f t="shared" ca="1" si="35"/>
        <v>NO</v>
      </c>
      <c r="AR165" s="177" t="s">
        <v>981</v>
      </c>
      <c r="AS165" s="435"/>
      <c r="AT165" s="992"/>
    </row>
    <row r="166" spans="2:46" ht="47.25" customHeight="1" x14ac:dyDescent="0.25">
      <c r="B166" s="15">
        <v>160</v>
      </c>
      <c r="C166" s="439"/>
      <c r="D166" s="439" t="str">
        <f t="shared" si="25"/>
        <v>2013</v>
      </c>
      <c r="E166" s="139" t="s">
        <v>240</v>
      </c>
      <c r="F166" s="132" t="s">
        <v>290</v>
      </c>
      <c r="G166" s="133">
        <v>811021363</v>
      </c>
      <c r="H166" s="1024"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2" t="str">
        <f>IFERROR(VLOOKUP(E166,'liquidaciones '!$B$2:$C$1048576,2,0),"NO")</f>
        <v>EN TRÁMITE</v>
      </c>
      <c r="AO166" s="972">
        <f>IFERROR(VLOOKUP(E166,'liquidaciones '!$B$2:$I$1048576,8,0),"")</f>
        <v>0</v>
      </c>
      <c r="AP166" s="339"/>
      <c r="AQ166" s="177" t="str">
        <f t="shared" ca="1" si="35"/>
        <v>NO</v>
      </c>
      <c r="AR166" s="177" t="s">
        <v>1995</v>
      </c>
      <c r="AS166" s="435"/>
      <c r="AT166" s="992"/>
    </row>
    <row r="167" spans="2:46" ht="47.25" customHeight="1" x14ac:dyDescent="0.25">
      <c r="B167" s="15">
        <v>161</v>
      </c>
      <c r="C167" s="439"/>
      <c r="D167" s="439" t="str">
        <f t="shared" si="25"/>
        <v>2013</v>
      </c>
      <c r="E167" s="139" t="s">
        <v>229</v>
      </c>
      <c r="F167" s="132" t="s">
        <v>1043</v>
      </c>
      <c r="G167" s="133">
        <v>72167924</v>
      </c>
      <c r="H167" s="1024" t="s">
        <v>498</v>
      </c>
      <c r="I167" s="140">
        <v>5000000</v>
      </c>
      <c r="J167" s="876" t="s">
        <v>4350</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2" t="str">
        <f>IFERROR(VLOOKUP(E167,'liquidaciones '!$B$2:$C$1048576,2,0),"NO")</f>
        <v>LIQUIDADO</v>
      </c>
      <c r="AO167" s="972">
        <f>IFERROR(VLOOKUP(E167,'liquidaciones '!$B$2:$I$1048576,8,0),"")</f>
        <v>0</v>
      </c>
      <c r="AP167" s="339">
        <v>41919</v>
      </c>
      <c r="AQ167" s="177" t="str">
        <f t="shared" ca="1" si="35"/>
        <v>NO</v>
      </c>
      <c r="AR167" s="177" t="s">
        <v>1166</v>
      </c>
      <c r="AS167" s="435"/>
      <c r="AT167" s="992"/>
    </row>
    <row r="168" spans="2:46" ht="47.25" customHeight="1" x14ac:dyDescent="0.25">
      <c r="B168" s="15">
        <v>162</v>
      </c>
      <c r="C168" s="439"/>
      <c r="D168" s="439" t="str">
        <f t="shared" si="25"/>
        <v>2013</v>
      </c>
      <c r="E168" s="139" t="s">
        <v>239</v>
      </c>
      <c r="F168" s="132" t="s">
        <v>152</v>
      </c>
      <c r="G168" s="133">
        <v>800015583</v>
      </c>
      <c r="H168" s="1024"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2" t="str">
        <f>IFERROR(VLOOKUP(E168,'liquidaciones '!$B$2:$C$1048576,2,0),"NO")</f>
        <v>EN TRÁMITE</v>
      </c>
      <c r="AO168" s="972">
        <f>IFERROR(VLOOKUP(E168,'liquidaciones '!$B$2:$I$1048576,8,0),"")</f>
        <v>0</v>
      </c>
      <c r="AP168" s="339"/>
      <c r="AQ168" s="177" t="str">
        <f t="shared" ca="1" si="35"/>
        <v>NO</v>
      </c>
      <c r="AR168" s="177" t="s">
        <v>1995</v>
      </c>
      <c r="AS168" s="435"/>
      <c r="AT168" s="992"/>
    </row>
    <row r="169" spans="2:46" ht="47.25" customHeight="1" x14ac:dyDescent="0.25">
      <c r="B169" s="15">
        <v>163</v>
      </c>
      <c r="C169" s="439"/>
      <c r="D169" s="439" t="str">
        <f t="shared" si="25"/>
        <v>2013</v>
      </c>
      <c r="E169" s="139" t="s">
        <v>405</v>
      </c>
      <c r="F169" s="132" t="s">
        <v>238</v>
      </c>
      <c r="G169" s="133">
        <v>52374136</v>
      </c>
      <c r="H169" s="1024"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2" t="str">
        <f>IFERROR(VLOOKUP(E169,'liquidaciones '!$B$2:$C$1048576,2,0),"NO")</f>
        <v>LIQUIDADO</v>
      </c>
      <c r="AO169" s="972">
        <f>IFERROR(VLOOKUP(E169,'liquidaciones '!$B$2:$I$1048576,8,0),"")</f>
        <v>0</v>
      </c>
      <c r="AP169" s="339">
        <v>41926</v>
      </c>
      <c r="AQ169" s="177" t="str">
        <f t="shared" ca="1" si="35"/>
        <v>NO</v>
      </c>
      <c r="AR169" s="177" t="s">
        <v>981</v>
      </c>
      <c r="AS169" s="435"/>
      <c r="AT169" s="992"/>
    </row>
    <row r="170" spans="2:46" ht="47.25" customHeight="1" x14ac:dyDescent="0.25">
      <c r="B170" s="15">
        <v>164</v>
      </c>
      <c r="C170" s="439"/>
      <c r="D170" s="439" t="str">
        <f t="shared" si="25"/>
        <v>2013</v>
      </c>
      <c r="E170" s="139" t="s">
        <v>236</v>
      </c>
      <c r="F170" s="132" t="s">
        <v>186</v>
      </c>
      <c r="G170" s="133">
        <v>800039398</v>
      </c>
      <c r="H170" s="1024"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2" t="str">
        <f>IFERROR(VLOOKUP(E170,'liquidaciones '!$B$2:$C$1048576,2,0),"NO")</f>
        <v>NO</v>
      </c>
      <c r="AO170" s="972" t="str">
        <f>IFERROR(VLOOKUP(E170,'liquidaciones '!$B$2:$I$1048576,8,0),"")</f>
        <v/>
      </c>
      <c r="AP170" s="339"/>
      <c r="AQ170" s="177" t="str">
        <f t="shared" ca="1" si="35"/>
        <v>NO</v>
      </c>
      <c r="AR170" s="177" t="s">
        <v>983</v>
      </c>
      <c r="AS170" s="435"/>
      <c r="AT170" s="992"/>
    </row>
    <row r="171" spans="2:46" ht="47.25" customHeight="1" x14ac:dyDescent="0.25">
      <c r="B171" s="15">
        <v>165</v>
      </c>
      <c r="C171" s="439"/>
      <c r="D171" s="439" t="str">
        <f t="shared" si="25"/>
        <v>2013</v>
      </c>
      <c r="E171" s="139" t="s">
        <v>241</v>
      </c>
      <c r="F171" s="132" t="s">
        <v>1044</v>
      </c>
      <c r="G171" s="133">
        <v>830093579</v>
      </c>
      <c r="H171" s="1024" t="s">
        <v>505</v>
      </c>
      <c r="I171" s="140">
        <v>3480000</v>
      </c>
      <c r="J171" s="134" t="s">
        <v>1088</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2" t="str">
        <f>IFERROR(VLOOKUP(E171,'liquidaciones '!$B$2:$C$1048576,2,0),"NO")</f>
        <v>NO</v>
      </c>
      <c r="AO171" s="972" t="str">
        <f>IFERROR(VLOOKUP(E171,'liquidaciones '!$B$2:$I$1048576,8,0),"")</f>
        <v/>
      </c>
      <c r="AP171" s="339"/>
      <c r="AQ171" s="177" t="str">
        <f t="shared" ca="1" si="35"/>
        <v>NO</v>
      </c>
      <c r="AR171" s="177" t="s">
        <v>981</v>
      </c>
      <c r="AS171" s="435"/>
      <c r="AT171" s="992"/>
    </row>
    <row r="172" spans="2:46" ht="47.25" customHeight="1" x14ac:dyDescent="0.25">
      <c r="B172" s="15">
        <v>166</v>
      </c>
      <c r="C172" s="439"/>
      <c r="D172" s="439" t="str">
        <f t="shared" si="25"/>
        <v>2013</v>
      </c>
      <c r="E172" s="139" t="s">
        <v>237</v>
      </c>
      <c r="F172" s="132" t="s">
        <v>186</v>
      </c>
      <c r="G172" s="137">
        <v>800039398</v>
      </c>
      <c r="H172" s="1024" t="s">
        <v>506</v>
      </c>
      <c r="I172" s="140">
        <v>126308000</v>
      </c>
      <c r="J172" s="876" t="s">
        <v>4049</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2" t="str">
        <f>IFERROR(VLOOKUP(E172,'liquidaciones '!$B$2:$C$1048576,2,0),"NO")</f>
        <v>LIQUIDADO</v>
      </c>
      <c r="AO172" s="972">
        <f>IFERROR(VLOOKUP(E172,'liquidaciones '!$B$2:$I$1048576,8,0),"")</f>
        <v>0</v>
      </c>
      <c r="AP172" s="339">
        <v>42009</v>
      </c>
      <c r="AQ172" s="177" t="str">
        <f t="shared" ca="1" si="35"/>
        <v>NO</v>
      </c>
      <c r="AR172" s="177" t="s">
        <v>1166</v>
      </c>
      <c r="AS172" s="435"/>
      <c r="AT172" s="992"/>
    </row>
    <row r="173" spans="2:46" ht="47.25" customHeight="1" x14ac:dyDescent="0.25">
      <c r="B173" s="15">
        <v>167</v>
      </c>
      <c r="C173" s="439"/>
      <c r="D173" s="439" t="str">
        <f t="shared" si="25"/>
        <v>2013</v>
      </c>
      <c r="E173" s="139" t="s">
        <v>230</v>
      </c>
      <c r="F173" s="132" t="s">
        <v>1045</v>
      </c>
      <c r="G173" s="133">
        <v>1010168639</v>
      </c>
      <c r="H173" s="1024" t="s">
        <v>507</v>
      </c>
      <c r="I173" s="140">
        <v>3500000</v>
      </c>
      <c r="J173" s="134" t="s">
        <v>1088</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2" t="str">
        <f>IFERROR(VLOOKUP(E173,'liquidaciones '!$B$2:$C$1048576,2,0),"NO")</f>
        <v>LIQUIDADO</v>
      </c>
      <c r="AO173" s="972">
        <f>IFERROR(VLOOKUP(E173,'liquidaciones '!$B$2:$I$1048576,8,0),"")</f>
        <v>0</v>
      </c>
      <c r="AP173" s="339">
        <v>41919</v>
      </c>
      <c r="AQ173" s="177" t="str">
        <f t="shared" ca="1" si="35"/>
        <v>NO</v>
      </c>
      <c r="AR173" s="177" t="s">
        <v>1166</v>
      </c>
      <c r="AS173" s="435"/>
      <c r="AT173" s="992"/>
    </row>
    <row r="174" spans="2:46" ht="53.25" customHeight="1" x14ac:dyDescent="0.25">
      <c r="B174" s="15">
        <v>168</v>
      </c>
      <c r="C174" s="439"/>
      <c r="D174" s="439" t="str">
        <f t="shared" si="25"/>
        <v>2013</v>
      </c>
      <c r="E174" s="139" t="s">
        <v>243</v>
      </c>
      <c r="F174" s="132" t="s">
        <v>244</v>
      </c>
      <c r="G174" s="133">
        <v>800058607</v>
      </c>
      <c r="H174" s="1024"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2" t="str">
        <f>IFERROR(VLOOKUP(E174,'liquidaciones '!$B$2:$C$1048576,2,0),"NO")</f>
        <v>NO</v>
      </c>
      <c r="AO174" s="972" t="str">
        <f>IFERROR(VLOOKUP(E174,'liquidaciones '!$B$2:$I$1048576,8,0),"")</f>
        <v/>
      </c>
      <c r="AP174" s="339">
        <v>42192</v>
      </c>
      <c r="AQ174" s="177" t="str">
        <f t="shared" ca="1" si="35"/>
        <v>NO</v>
      </c>
      <c r="AR174" s="177" t="s">
        <v>981</v>
      </c>
      <c r="AS174" s="435"/>
      <c r="AT174" s="992"/>
    </row>
    <row r="175" spans="2:46" ht="47.25" customHeight="1" x14ac:dyDescent="0.25">
      <c r="B175" s="15">
        <v>169</v>
      </c>
      <c r="C175" s="439"/>
      <c r="D175" s="439" t="str">
        <f t="shared" si="25"/>
        <v>2014</v>
      </c>
      <c r="E175" s="139" t="s">
        <v>1106</v>
      </c>
      <c r="F175" s="132" t="s">
        <v>100</v>
      </c>
      <c r="G175" s="133">
        <v>860019063</v>
      </c>
      <c r="H175" s="1024" t="s">
        <v>1052</v>
      </c>
      <c r="I175" s="140">
        <v>30000000</v>
      </c>
      <c r="J175" s="876" t="s">
        <v>2672</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2" t="str">
        <f>IFERROR(VLOOKUP(E175,'liquidaciones '!$B$2:$C$1048576,2,0),"NO")</f>
        <v>LIQUIDADO</v>
      </c>
      <c r="AO175" s="972">
        <f>IFERROR(VLOOKUP(E175,'liquidaciones '!$B$2:$I$1048576,8,0),"")</f>
        <v>0</v>
      </c>
      <c r="AP175" s="339"/>
      <c r="AQ175" s="177" t="str">
        <f t="shared" ca="1" si="35"/>
        <v>NO</v>
      </c>
      <c r="AR175" s="177" t="s">
        <v>1573</v>
      </c>
      <c r="AS175" s="435"/>
      <c r="AT175" s="992"/>
    </row>
    <row r="176" spans="2:46" ht="47.25" customHeight="1" x14ac:dyDescent="0.25">
      <c r="B176" s="15">
        <v>170</v>
      </c>
      <c r="C176" s="439"/>
      <c r="D176" s="439" t="str">
        <f t="shared" si="25"/>
        <v>2014</v>
      </c>
      <c r="E176" s="139" t="s">
        <v>278</v>
      </c>
      <c r="F176" s="132" t="s">
        <v>15</v>
      </c>
      <c r="G176" s="133">
        <v>830067096</v>
      </c>
      <c r="H176" s="1024" t="s">
        <v>509</v>
      </c>
      <c r="I176" s="140">
        <v>7740000</v>
      </c>
      <c r="J176" s="887">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2" t="str">
        <f>IFERROR(VLOOKUP(E176,'liquidaciones '!$B$2:$C$1048576,2,0),"NO")</f>
        <v>LIQUIDADO</v>
      </c>
      <c r="AO176" s="972">
        <f>IFERROR(VLOOKUP(E176,'liquidaciones '!$B$2:$I$1048576,8,0),"")</f>
        <v>0</v>
      </c>
      <c r="AP176" s="339">
        <v>42318</v>
      </c>
      <c r="AQ176" s="177" t="str">
        <f t="shared" ca="1" si="35"/>
        <v>NO</v>
      </c>
      <c r="AR176" s="177" t="s">
        <v>1511</v>
      </c>
      <c r="AS176" s="435"/>
      <c r="AT176" s="992"/>
    </row>
    <row r="177" spans="1:46" ht="47.25" customHeight="1" x14ac:dyDescent="0.25">
      <c r="A177" s="15">
        <v>4</v>
      </c>
      <c r="B177" s="15">
        <v>171</v>
      </c>
      <c r="C177" s="439"/>
      <c r="D177" s="439" t="str">
        <f t="shared" si="25"/>
        <v>2014</v>
      </c>
      <c r="E177" s="139" t="s">
        <v>171</v>
      </c>
      <c r="F177" s="132" t="s">
        <v>1034</v>
      </c>
      <c r="G177" s="133">
        <v>79887061</v>
      </c>
      <c r="H177" s="1024"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2" t="str">
        <f>IFERROR(VLOOKUP(E177,'liquidaciones '!$B$2:$C$1048576,2,0),"NO")</f>
        <v>LIQUIDADO</v>
      </c>
      <c r="AO177" s="972">
        <f>IFERROR(VLOOKUP(E177,'liquidaciones '!$B$2:$I$1048576,8,0),"")</f>
        <v>0</v>
      </c>
      <c r="AP177" s="339">
        <v>42152</v>
      </c>
      <c r="AQ177" s="177" t="str">
        <f t="shared" ca="1" si="35"/>
        <v>NO</v>
      </c>
      <c r="AR177" s="177" t="s">
        <v>981</v>
      </c>
      <c r="AS177" s="435"/>
      <c r="AT177" s="992"/>
    </row>
    <row r="178" spans="1:46" ht="47.25" customHeight="1" x14ac:dyDescent="0.25">
      <c r="B178" s="15">
        <v>172</v>
      </c>
      <c r="C178" s="439"/>
      <c r="D178" s="439" t="str">
        <f t="shared" si="25"/>
        <v>2014</v>
      </c>
      <c r="E178" s="139" t="s">
        <v>252</v>
      </c>
      <c r="F178" s="132" t="s">
        <v>86</v>
      </c>
      <c r="G178" s="133">
        <v>860001022</v>
      </c>
      <c r="H178" s="1024"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2" t="str">
        <f>IFERROR(VLOOKUP(E178,'liquidaciones '!$B$2:$C$1048576,2,0),"NO")</f>
        <v>EN TRÁMITE</v>
      </c>
      <c r="AO178" s="972">
        <f>IFERROR(VLOOKUP(E178,'liquidaciones '!$B$2:$I$1048576,8,0),"")</f>
        <v>0</v>
      </c>
      <c r="AP178" s="339"/>
      <c r="AQ178" s="177" t="str">
        <f t="shared" ca="1" si="35"/>
        <v>NO</v>
      </c>
      <c r="AR178" s="177" t="s">
        <v>1511</v>
      </c>
      <c r="AS178" s="435"/>
      <c r="AT178" s="992"/>
    </row>
    <row r="179" spans="1:46" ht="47.25" customHeight="1" x14ac:dyDescent="0.25">
      <c r="B179" s="15">
        <v>173</v>
      </c>
      <c r="C179" s="439"/>
      <c r="D179" s="439" t="str">
        <f t="shared" si="25"/>
        <v>2014</v>
      </c>
      <c r="E179" s="162" t="s">
        <v>270</v>
      </c>
      <c r="F179" s="145" t="s">
        <v>1031</v>
      </c>
      <c r="G179" s="133">
        <v>800249557</v>
      </c>
      <c r="H179" s="1025"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2" t="str">
        <f>IFERROR(VLOOKUP(E179,'liquidaciones '!$B$2:$C$1048576,2,0),"NO")</f>
        <v>LIQUIDADO</v>
      </c>
      <c r="AO179" s="972">
        <f>IFERROR(VLOOKUP(E179,'liquidaciones '!$B$2:$I$1048576,8,0),"")</f>
        <v>0</v>
      </c>
      <c r="AP179" s="339">
        <v>42095</v>
      </c>
      <c r="AQ179" s="177" t="str">
        <f t="shared" ca="1" si="35"/>
        <v>NO</v>
      </c>
      <c r="AR179" s="177" t="s">
        <v>1511</v>
      </c>
      <c r="AS179" s="435"/>
      <c r="AT179" s="992"/>
    </row>
    <row r="180" spans="1:46" ht="47.25" customHeight="1" x14ac:dyDescent="0.25">
      <c r="B180" s="15">
        <v>174</v>
      </c>
      <c r="C180" s="439"/>
      <c r="D180" s="439" t="str">
        <f t="shared" si="25"/>
        <v>2014</v>
      </c>
      <c r="E180" s="162" t="s">
        <v>254</v>
      </c>
      <c r="F180" s="145" t="s">
        <v>1033</v>
      </c>
      <c r="G180" s="133">
        <v>51931422</v>
      </c>
      <c r="H180" s="1025"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2" t="str">
        <f>IFERROR(VLOOKUP(E180,'liquidaciones '!$B$2:$C$1048576,2,0),"NO")</f>
        <v>LIQUIDADO</v>
      </c>
      <c r="AO180" s="972">
        <f>IFERROR(VLOOKUP(E180,'liquidaciones '!$B$2:$I$1048576,8,0),"")</f>
        <v>0</v>
      </c>
      <c r="AP180" s="339">
        <v>42145</v>
      </c>
      <c r="AQ180" s="177" t="str">
        <f t="shared" ca="1" si="35"/>
        <v>NO</v>
      </c>
      <c r="AR180" s="177" t="s">
        <v>981</v>
      </c>
      <c r="AS180" s="435"/>
      <c r="AT180" s="992"/>
    </row>
    <row r="181" spans="1:46" ht="47.25" customHeight="1" x14ac:dyDescent="0.25">
      <c r="B181" s="15">
        <v>175</v>
      </c>
      <c r="C181" s="439"/>
      <c r="D181" s="439" t="str">
        <f t="shared" si="25"/>
        <v>2014</v>
      </c>
      <c r="E181" s="139" t="s">
        <v>267</v>
      </c>
      <c r="F181" s="132" t="s">
        <v>1516</v>
      </c>
      <c r="G181" s="133">
        <v>80117116</v>
      </c>
      <c r="H181" s="1024"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2" t="str">
        <f>IFERROR(VLOOKUP(E181,'liquidaciones '!$B$2:$C$1048576,2,0),"NO")</f>
        <v>NO</v>
      </c>
      <c r="AO181" s="972" t="str">
        <f>IFERROR(VLOOKUP(E181,'liquidaciones '!$B$2:$I$1048576,8,0),"")</f>
        <v/>
      </c>
      <c r="AP181" s="339">
        <v>42087</v>
      </c>
      <c r="AQ181" s="177" t="str">
        <f t="shared" ca="1" si="35"/>
        <v>NO</v>
      </c>
      <c r="AR181" s="177" t="s">
        <v>981</v>
      </c>
      <c r="AS181" s="435"/>
      <c r="AT181" s="992"/>
    </row>
    <row r="182" spans="1:46" ht="47.25" customHeight="1" x14ac:dyDescent="0.25">
      <c r="A182" s="39"/>
      <c r="B182" s="15">
        <v>176</v>
      </c>
      <c r="C182" s="439"/>
      <c r="D182" s="439" t="str">
        <f t="shared" si="25"/>
        <v>2014</v>
      </c>
      <c r="E182" s="162" t="s">
        <v>257</v>
      </c>
      <c r="F182" s="145" t="s">
        <v>1035</v>
      </c>
      <c r="G182" s="133">
        <v>4098836</v>
      </c>
      <c r="H182" s="1025"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2" t="str">
        <f>IFERROR(VLOOKUP(E182,'liquidaciones '!$B$2:$C$1048576,2,0),"NO")</f>
        <v>LIQUIDADO</v>
      </c>
      <c r="AO182" s="972">
        <f>IFERROR(VLOOKUP(E182,'liquidaciones '!$B$2:$I$1048576,8,0),"")</f>
        <v>0</v>
      </c>
      <c r="AP182" s="339">
        <v>42153</v>
      </c>
      <c r="AQ182" s="177" t="str">
        <f t="shared" ca="1" si="35"/>
        <v>NO</v>
      </c>
      <c r="AR182" s="177" t="s">
        <v>981</v>
      </c>
      <c r="AS182" s="435"/>
      <c r="AT182" s="992"/>
    </row>
    <row r="183" spans="1:46" ht="47.25" customHeight="1" x14ac:dyDescent="0.25">
      <c r="B183" s="15">
        <v>177</v>
      </c>
      <c r="C183" s="439"/>
      <c r="D183" s="439" t="str">
        <f t="shared" si="25"/>
        <v>2014</v>
      </c>
      <c r="E183" s="139" t="s">
        <v>245</v>
      </c>
      <c r="F183" s="132" t="s">
        <v>226</v>
      </c>
      <c r="G183" s="133">
        <v>19136712</v>
      </c>
      <c r="H183" s="1024"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2" t="str">
        <f>IFERROR(VLOOKUP(E183,'liquidaciones '!$B$2:$C$1048576,2,0),"NO")</f>
        <v>EN TRÁMITE</v>
      </c>
      <c r="AO183" s="972">
        <f>IFERROR(VLOOKUP(E183,'liquidaciones '!$B$2:$I$1048576,8,0),"")</f>
        <v>0</v>
      </c>
      <c r="AP183" s="339"/>
      <c r="AQ183" s="177" t="str">
        <f t="shared" ca="1" si="35"/>
        <v>NO</v>
      </c>
      <c r="AR183" s="177" t="s">
        <v>1056</v>
      </c>
      <c r="AS183" s="435"/>
      <c r="AT183" s="992"/>
    </row>
    <row r="184" spans="1:46" ht="73.5" customHeight="1" x14ac:dyDescent="0.25">
      <c r="A184" s="39"/>
      <c r="B184" s="15">
        <v>178</v>
      </c>
      <c r="C184" s="439"/>
      <c r="D184" s="439" t="str">
        <f t="shared" si="25"/>
        <v>2014</v>
      </c>
      <c r="E184" s="139" t="s">
        <v>1109</v>
      </c>
      <c r="F184" s="132" t="s">
        <v>222</v>
      </c>
      <c r="G184" s="133">
        <v>7212142</v>
      </c>
      <c r="H184" s="1024"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2" t="str">
        <f>IFERROR(VLOOKUP(E184,'liquidaciones '!$B$2:$C$1048576,2,0),"NO")</f>
        <v>NO</v>
      </c>
      <c r="AO184" s="972" t="str">
        <f>IFERROR(VLOOKUP(E184,'liquidaciones '!$B$2:$I$1048576,8,0),"")</f>
        <v/>
      </c>
      <c r="AP184" s="339">
        <v>42234</v>
      </c>
      <c r="AQ184" s="177" t="str">
        <f t="shared" ca="1" si="35"/>
        <v>NO</v>
      </c>
      <c r="AR184" s="177" t="s">
        <v>1056</v>
      </c>
      <c r="AS184" s="435"/>
      <c r="AT184" s="992"/>
    </row>
    <row r="185" spans="1:46" ht="56.25" customHeight="1" x14ac:dyDescent="0.25">
      <c r="B185" s="15">
        <v>179</v>
      </c>
      <c r="C185" s="439"/>
      <c r="D185" s="439" t="str">
        <f t="shared" si="25"/>
        <v>2014</v>
      </c>
      <c r="E185" s="139" t="s">
        <v>247</v>
      </c>
      <c r="F185" s="2" t="s">
        <v>1515</v>
      </c>
      <c r="G185" s="133">
        <v>72167924</v>
      </c>
      <c r="H185" s="1024" t="s">
        <v>516</v>
      </c>
      <c r="I185" s="140">
        <v>55000000</v>
      </c>
      <c r="J185" s="876" t="s">
        <v>2621</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2" t="str">
        <f>IFERROR(VLOOKUP(E185,'liquidaciones '!$B$2:$C$1048576,2,0),"NO")</f>
        <v>LIQUIDADO</v>
      </c>
      <c r="AO185" s="972">
        <f>IFERROR(VLOOKUP(E185,'liquidaciones '!$B$2:$I$1048576,8,0),"")</f>
        <v>0</v>
      </c>
      <c r="AP185" s="339">
        <v>42277</v>
      </c>
      <c r="AQ185" s="177" t="str">
        <f t="shared" ca="1" si="35"/>
        <v>NO</v>
      </c>
      <c r="AR185" s="177" t="s">
        <v>1056</v>
      </c>
      <c r="AS185" s="435"/>
      <c r="AT185" s="992"/>
    </row>
    <row r="186" spans="1:46" ht="47.25" customHeight="1" x14ac:dyDescent="0.25">
      <c r="B186" s="15">
        <v>180</v>
      </c>
      <c r="C186" s="439"/>
      <c r="D186" s="439" t="str">
        <f t="shared" si="25"/>
        <v>2014</v>
      </c>
      <c r="E186" s="139" t="s">
        <v>249</v>
      </c>
      <c r="F186" s="132" t="s">
        <v>1045</v>
      </c>
      <c r="G186" s="133">
        <v>1010168639</v>
      </c>
      <c r="H186" s="1024" t="s">
        <v>2206</v>
      </c>
      <c r="I186" s="140">
        <v>38500000</v>
      </c>
      <c r="J186" s="876" t="s">
        <v>2622</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2" t="str">
        <f>IFERROR(VLOOKUP(E186,'liquidaciones '!$B$2:$C$1048576,2,0),"NO")</f>
        <v>LIQUIDADO</v>
      </c>
      <c r="AO186" s="972">
        <f>IFERROR(VLOOKUP(E186,'liquidaciones '!$B$2:$I$1048576,8,0),"")</f>
        <v>0</v>
      </c>
      <c r="AP186" s="339">
        <v>42257</v>
      </c>
      <c r="AQ186" s="177" t="str">
        <f t="shared" ca="1" si="35"/>
        <v>NO</v>
      </c>
      <c r="AR186" s="177" t="s">
        <v>1056</v>
      </c>
      <c r="AS186" s="435"/>
      <c r="AT186" s="992"/>
    </row>
    <row r="187" spans="1:46" ht="47.25" customHeight="1" x14ac:dyDescent="0.25">
      <c r="A187" s="39"/>
      <c r="B187" s="15">
        <v>181</v>
      </c>
      <c r="C187" s="439"/>
      <c r="D187" s="439" t="str">
        <f t="shared" si="25"/>
        <v>2014</v>
      </c>
      <c r="E187" s="139" t="s">
        <v>246</v>
      </c>
      <c r="F187" s="132" t="s">
        <v>228</v>
      </c>
      <c r="G187" s="133">
        <v>52935011</v>
      </c>
      <c r="H187" s="1024"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2" t="str">
        <f>IFERROR(VLOOKUP(E187,'liquidaciones '!$B$2:$C$1048576,2,0),"NO")</f>
        <v>EN TRÁMITE</v>
      </c>
      <c r="AO187" s="972">
        <f>IFERROR(VLOOKUP(E187,'liquidaciones '!$B$2:$I$1048576,8,0),"")</f>
        <v>0</v>
      </c>
      <c r="AP187" s="339">
        <v>42235</v>
      </c>
      <c r="AQ187" s="177" t="str">
        <f t="shared" ca="1" si="35"/>
        <v>NO</v>
      </c>
      <c r="AR187" s="177" t="s">
        <v>1056</v>
      </c>
      <c r="AS187" s="435"/>
      <c r="AT187" s="992"/>
    </row>
    <row r="188" spans="1:46" ht="47.25" customHeight="1" x14ac:dyDescent="0.25">
      <c r="B188" s="15">
        <v>182</v>
      </c>
      <c r="C188" s="439"/>
      <c r="D188" s="439" t="str">
        <f t="shared" si="25"/>
        <v>2014</v>
      </c>
      <c r="E188" s="139" t="s">
        <v>248</v>
      </c>
      <c r="F188" s="132" t="s">
        <v>224</v>
      </c>
      <c r="G188" s="133">
        <v>19327657</v>
      </c>
      <c r="H188" s="1024"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2" t="str">
        <f>IFERROR(VLOOKUP(E188,'liquidaciones '!$B$2:$C$1048576,2,0),"NO")</f>
        <v>LIQUIDADO</v>
      </c>
      <c r="AO188" s="972">
        <f>IFERROR(VLOOKUP(E188,'liquidaciones '!$B$2:$I$1048576,8,0),"")</f>
        <v>0</v>
      </c>
      <c r="AP188" s="339">
        <v>42277</v>
      </c>
      <c r="AQ188" s="177" t="str">
        <f t="shared" ca="1" si="35"/>
        <v>NO</v>
      </c>
      <c r="AR188" s="177" t="s">
        <v>1056</v>
      </c>
      <c r="AS188" s="435"/>
      <c r="AT188" s="992"/>
    </row>
    <row r="189" spans="1:46" ht="47.25" customHeight="1" x14ac:dyDescent="0.25">
      <c r="B189" s="15">
        <v>183</v>
      </c>
      <c r="C189" s="439"/>
      <c r="D189" s="439" t="str">
        <f t="shared" si="25"/>
        <v>2014</v>
      </c>
      <c r="E189" s="139" t="s">
        <v>268</v>
      </c>
      <c r="F189" s="132" t="s">
        <v>269</v>
      </c>
      <c r="G189" s="145">
        <v>860025639</v>
      </c>
      <c r="H189" s="1024"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2" t="str">
        <f>IFERROR(VLOOKUP(E189,'liquidaciones '!$B$2:$C$1048576,2,0),"NO")</f>
        <v>EN TRÁMITE</v>
      </c>
      <c r="AO189" s="972">
        <f>IFERROR(VLOOKUP(E189,'liquidaciones '!$B$2:$I$1048576,8,0),"")</f>
        <v>0</v>
      </c>
      <c r="AP189" s="339"/>
      <c r="AQ189" s="177" t="str">
        <f t="shared" ca="1" si="35"/>
        <v>NO</v>
      </c>
      <c r="AR189" s="177" t="s">
        <v>1511</v>
      </c>
      <c r="AS189" s="435"/>
      <c r="AT189" s="992"/>
    </row>
    <row r="190" spans="1:46" ht="47.25" customHeight="1" x14ac:dyDescent="0.25">
      <c r="B190" s="15">
        <v>184</v>
      </c>
      <c r="C190" s="439"/>
      <c r="D190" s="439" t="str">
        <f t="shared" si="25"/>
        <v>2014</v>
      </c>
      <c r="E190" s="162" t="s">
        <v>253</v>
      </c>
      <c r="F190" s="145" t="s">
        <v>140</v>
      </c>
      <c r="G190" s="133">
        <v>51721571</v>
      </c>
      <c r="H190" s="1025"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2" t="str">
        <f>IFERROR(VLOOKUP(E190,'liquidaciones '!$B$2:$C$1048576,2,0),"NO")</f>
        <v>LIQUIDADO</v>
      </c>
      <c r="AO190" s="972">
        <f>IFERROR(VLOOKUP(E190,'liquidaciones '!$B$2:$I$1048576,8,0),"")</f>
        <v>0</v>
      </c>
      <c r="AP190" s="339">
        <v>41962</v>
      </c>
      <c r="AQ190" s="177" t="str">
        <f t="shared" ca="1" si="35"/>
        <v>NO</v>
      </c>
      <c r="AR190" s="177" t="s">
        <v>1166</v>
      </c>
      <c r="AS190" s="435"/>
      <c r="AT190" s="992"/>
    </row>
    <row r="191" spans="1:46" ht="53.25" customHeight="1" x14ac:dyDescent="0.25">
      <c r="A191" s="39"/>
      <c r="B191" s="15">
        <v>185</v>
      </c>
      <c r="C191" s="439"/>
      <c r="D191" s="439" t="str">
        <f t="shared" si="25"/>
        <v>2014</v>
      </c>
      <c r="E191" s="162" t="s">
        <v>255</v>
      </c>
      <c r="F191" s="145" t="s">
        <v>1032</v>
      </c>
      <c r="G191" s="133">
        <v>79843891</v>
      </c>
      <c r="H191" s="1025"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2" t="str">
        <f>IFERROR(VLOOKUP(E191,'liquidaciones '!$B$2:$C$1048576,2,0),"NO")</f>
        <v>LIQUIDADO</v>
      </c>
      <c r="AO191" s="972">
        <f>IFERROR(VLOOKUP(E191,'liquidaciones '!$B$2:$I$1048576,8,0),"")</f>
        <v>0</v>
      </c>
      <c r="AP191" s="339"/>
      <c r="AQ191" s="177" t="str">
        <f t="shared" ca="1" si="35"/>
        <v>NO</v>
      </c>
      <c r="AR191" s="177" t="s">
        <v>1572</v>
      </c>
      <c r="AS191" s="435"/>
      <c r="AT191" s="992"/>
    </row>
    <row r="192" spans="1:46" ht="47.25" customHeight="1" x14ac:dyDescent="0.25">
      <c r="B192" s="15">
        <v>186</v>
      </c>
      <c r="C192" s="439"/>
      <c r="D192" s="439" t="str">
        <f t="shared" si="25"/>
        <v>2014</v>
      </c>
      <c r="E192" s="139" t="s">
        <v>250</v>
      </c>
      <c r="F192" s="132" t="s">
        <v>251</v>
      </c>
      <c r="G192" s="133">
        <v>1018434911</v>
      </c>
      <c r="H192" s="1024"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2" t="str">
        <f>IFERROR(VLOOKUP(E192,'liquidaciones '!$B$2:$C$1048576,2,0),"NO")</f>
        <v>LIQUIDADO</v>
      </c>
      <c r="AO192" s="972">
        <f>IFERROR(VLOOKUP(E192,'liquidaciones '!$B$2:$I$1048576,8,0),"")</f>
        <v>0</v>
      </c>
      <c r="AP192" s="339"/>
      <c r="AQ192" s="177" t="str">
        <f t="shared" ca="1" si="35"/>
        <v>NO</v>
      </c>
      <c r="AR192" s="177" t="s">
        <v>1572</v>
      </c>
      <c r="AS192" s="435"/>
      <c r="AT192" s="992"/>
    </row>
    <row r="193" spans="1:46" ht="47.25" customHeight="1" x14ac:dyDescent="0.25">
      <c r="A193" s="39"/>
      <c r="B193" s="15">
        <v>187</v>
      </c>
      <c r="C193" s="439"/>
      <c r="D193" s="439" t="str">
        <f t="shared" si="25"/>
        <v>2014</v>
      </c>
      <c r="E193" s="162" t="s">
        <v>256</v>
      </c>
      <c r="F193" s="132" t="s">
        <v>1395</v>
      </c>
      <c r="G193" s="137">
        <v>60289180</v>
      </c>
      <c r="H193" s="1025"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2" t="str">
        <f>IFERROR(VLOOKUP(E193,'liquidaciones '!$B$2:$C$1048576,2,0),"NO")</f>
        <v>EN TRÁMITE</v>
      </c>
      <c r="AO193" s="972">
        <f>IFERROR(VLOOKUP(E193,'liquidaciones '!$B$2:$I$1048576,8,0),"")</f>
        <v>0</v>
      </c>
      <c r="AP193" s="339"/>
      <c r="AQ193" s="177" t="str">
        <f t="shared" ca="1" si="35"/>
        <v>NO</v>
      </c>
      <c r="AR193" s="177" t="s">
        <v>981</v>
      </c>
      <c r="AS193" s="435"/>
      <c r="AT193" s="992"/>
    </row>
    <row r="194" spans="1:46" ht="47.25" customHeight="1" x14ac:dyDescent="0.25">
      <c r="B194" s="15">
        <v>188</v>
      </c>
      <c r="C194" s="439"/>
      <c r="D194" s="439" t="str">
        <f t="shared" si="25"/>
        <v>2014</v>
      </c>
      <c r="E194" s="139" t="s">
        <v>264</v>
      </c>
      <c r="F194" s="132" t="s">
        <v>186</v>
      </c>
      <c r="G194" s="133">
        <v>800039398</v>
      </c>
      <c r="H194" s="1024"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2" t="str">
        <f>IFERROR(VLOOKUP(E194,'liquidaciones '!$B$2:$C$1048576,2,0),"NO")</f>
        <v>LIQUIDADO</v>
      </c>
      <c r="AO194" s="972">
        <f>IFERROR(VLOOKUP(E194,'liquidaciones '!$B$2:$I$1048576,8,0),"")</f>
        <v>0</v>
      </c>
      <c r="AP194" s="339"/>
      <c r="AQ194" s="177" t="str">
        <f t="shared" ca="1" si="35"/>
        <v>NO</v>
      </c>
      <c r="AR194" s="177" t="s">
        <v>1995</v>
      </c>
      <c r="AS194" s="435"/>
      <c r="AT194" s="992"/>
    </row>
    <row r="195" spans="1:46" ht="62.25" customHeight="1" x14ac:dyDescent="0.25">
      <c r="B195" s="15">
        <v>189</v>
      </c>
      <c r="C195" s="439"/>
      <c r="D195" s="439" t="str">
        <f t="shared" si="25"/>
        <v>2014</v>
      </c>
      <c r="E195" s="139" t="s">
        <v>262</v>
      </c>
      <c r="F195" s="132" t="s">
        <v>263</v>
      </c>
      <c r="G195" s="133">
        <v>900381188</v>
      </c>
      <c r="H195" s="1024"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2" t="str">
        <f>IFERROR(VLOOKUP(E195,'liquidaciones '!$B$2:$C$1048576,2,0),"NO")</f>
        <v>LIQUIDADO</v>
      </c>
      <c r="AO195" s="972">
        <f>IFERROR(VLOOKUP(E195,'liquidaciones '!$B$2:$I$1048576,8,0),"")</f>
        <v>0</v>
      </c>
      <c r="AP195" s="339">
        <v>42094</v>
      </c>
      <c r="AQ195" s="177" t="str">
        <f t="shared" ca="1" si="35"/>
        <v>NO</v>
      </c>
      <c r="AR195" s="177" t="s">
        <v>1444</v>
      </c>
      <c r="AS195" s="435"/>
      <c r="AT195" s="992"/>
    </row>
    <row r="196" spans="1:46" ht="47.25" customHeight="1" x14ac:dyDescent="0.25">
      <c r="B196" s="15">
        <v>190</v>
      </c>
      <c r="C196" s="439"/>
      <c r="D196" s="439" t="str">
        <f t="shared" si="25"/>
        <v>2014</v>
      </c>
      <c r="E196" s="139" t="s">
        <v>260</v>
      </c>
      <c r="F196" s="132" t="s">
        <v>261</v>
      </c>
      <c r="G196" s="133">
        <v>900157564</v>
      </c>
      <c r="H196" s="1024" t="s">
        <v>522</v>
      </c>
      <c r="I196" s="140">
        <v>248000000</v>
      </c>
      <c r="J196" s="134" t="s">
        <v>1088</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2" t="str">
        <f>IFERROR(VLOOKUP(E196,'liquidaciones '!$B$2:$C$1048576,2,0),"NO")</f>
        <v>LIQUIDADO</v>
      </c>
      <c r="AO196" s="972">
        <f>IFERROR(VLOOKUP(E196,'liquidaciones '!$B$2:$I$1048576,8,0),"")</f>
        <v>0</v>
      </c>
      <c r="AP196" s="339">
        <v>42003</v>
      </c>
      <c r="AQ196" s="177" t="str">
        <f t="shared" ca="1" si="35"/>
        <v>NO</v>
      </c>
      <c r="AR196" s="177" t="s">
        <v>1166</v>
      </c>
      <c r="AS196" s="435"/>
      <c r="AT196" s="992"/>
    </row>
    <row r="197" spans="1:46" ht="47.25" customHeight="1" x14ac:dyDescent="0.25">
      <c r="B197" s="15">
        <v>191</v>
      </c>
      <c r="C197" s="439"/>
      <c r="D197" s="439" t="str">
        <f t="shared" si="25"/>
        <v>2014</v>
      </c>
      <c r="E197" s="139" t="s">
        <v>273</v>
      </c>
      <c r="F197" s="132" t="s">
        <v>126</v>
      </c>
      <c r="G197" s="133">
        <v>900333228</v>
      </c>
      <c r="H197" s="1024" t="s">
        <v>523</v>
      </c>
      <c r="I197" s="140">
        <v>11000000</v>
      </c>
      <c r="J197" s="876" t="s">
        <v>2673</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2" t="str">
        <f>IFERROR(VLOOKUP(E197,'liquidaciones '!$B$2:$C$1048576,2,0),"NO")</f>
        <v>LIQUIDADO</v>
      </c>
      <c r="AO197" s="972">
        <f>IFERROR(VLOOKUP(E197,'liquidaciones '!$B$2:$I$1048576,8,0),"")</f>
        <v>0</v>
      </c>
      <c r="AP197" s="339">
        <v>42290</v>
      </c>
      <c r="AQ197" s="177" t="str">
        <f t="shared" ca="1" si="35"/>
        <v>NO</v>
      </c>
      <c r="AR197" s="177" t="s">
        <v>1574</v>
      </c>
      <c r="AS197" s="435"/>
      <c r="AT197" s="992"/>
    </row>
    <row r="198" spans="1:46" ht="47.25" customHeight="1" x14ac:dyDescent="0.25">
      <c r="B198" s="15">
        <v>192</v>
      </c>
      <c r="C198" s="439"/>
      <c r="D198" s="439" t="str">
        <f t="shared" si="25"/>
        <v>2014</v>
      </c>
      <c r="E198" s="139" t="s">
        <v>288</v>
      </c>
      <c r="F198" s="132" t="s">
        <v>12</v>
      </c>
      <c r="G198" s="133">
        <v>805006014</v>
      </c>
      <c r="H198" s="1024" t="s">
        <v>524</v>
      </c>
      <c r="I198" s="140">
        <v>1325400</v>
      </c>
      <c r="J198" s="876" t="s">
        <v>2624</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2" t="str">
        <f>IFERROR(VLOOKUP(E198,'liquidaciones '!$B$2:$C$1048576,2,0),"NO")</f>
        <v>EN TRÁMITE</v>
      </c>
      <c r="AO198" s="972">
        <f>IFERROR(VLOOKUP(E198,'liquidaciones '!$B$2:$I$1048576,8,0),"")</f>
        <v>0</v>
      </c>
      <c r="AP198" s="339">
        <v>42304</v>
      </c>
      <c r="AQ198" s="177" t="str">
        <f t="shared" ca="1" si="35"/>
        <v>NO</v>
      </c>
      <c r="AR198" s="177" t="s">
        <v>981</v>
      </c>
      <c r="AS198" s="435"/>
      <c r="AT198" s="992"/>
    </row>
    <row r="199" spans="1:46" ht="61.5" customHeight="1" x14ac:dyDescent="0.25">
      <c r="B199" s="15">
        <v>193</v>
      </c>
      <c r="C199" s="439"/>
      <c r="D199" s="439" t="str">
        <f t="shared" ref="D199:D262" si="38">K199&amp;C199</f>
        <v>2014</v>
      </c>
      <c r="E199" s="139" t="s">
        <v>266</v>
      </c>
      <c r="F199" s="132" t="s">
        <v>1030</v>
      </c>
      <c r="G199" s="133">
        <v>830122370</v>
      </c>
      <c r="H199" s="1024" t="s">
        <v>368</v>
      </c>
      <c r="I199" s="140">
        <v>4982000</v>
      </c>
      <c r="J199" s="876" t="s">
        <v>2674</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2" t="str">
        <f>IFERROR(VLOOKUP(E199,'liquidaciones '!$B$2:$C$1048576,2,0),"NO")</f>
        <v>LIQUIDADO</v>
      </c>
      <c r="AO199" s="972">
        <f>IFERROR(VLOOKUP(E199,'liquidaciones '!$B$2:$I$1048576,8,0),"")</f>
        <v>0</v>
      </c>
      <c r="AP199" s="339">
        <v>42277</v>
      </c>
      <c r="AQ199" s="177" t="str">
        <f t="shared" ca="1" si="35"/>
        <v>NO</v>
      </c>
      <c r="AR199" s="177" t="s">
        <v>981</v>
      </c>
      <c r="AS199" s="435"/>
      <c r="AT199" s="992"/>
    </row>
    <row r="200" spans="1:46" ht="47.25" customHeight="1" x14ac:dyDescent="0.25">
      <c r="B200" s="15">
        <v>194</v>
      </c>
      <c r="C200" s="439"/>
      <c r="D200" s="439" t="str">
        <f t="shared" si="38"/>
        <v>2014</v>
      </c>
      <c r="E200" s="139" t="s">
        <v>271</v>
      </c>
      <c r="F200" s="132" t="s">
        <v>272</v>
      </c>
      <c r="G200" s="133">
        <v>900197284</v>
      </c>
      <c r="H200" s="1024" t="s">
        <v>525</v>
      </c>
      <c r="I200" s="140">
        <v>28000000</v>
      </c>
      <c r="J200" s="876" t="s">
        <v>2675</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2" t="str">
        <f>IFERROR(VLOOKUP(E200,'liquidaciones '!$B$2:$C$1048576,2,0),"NO")</f>
        <v>LIQUIDADO</v>
      </c>
      <c r="AO200" s="972">
        <f>IFERROR(VLOOKUP(E200,'liquidaciones '!$B$2:$I$1048576,8,0),"")</f>
        <v>0</v>
      </c>
      <c r="AP200" s="339">
        <v>42242</v>
      </c>
      <c r="AQ200" s="177" t="str">
        <f t="shared" ca="1" si="35"/>
        <v>NO</v>
      </c>
      <c r="AR200" s="177" t="s">
        <v>1056</v>
      </c>
      <c r="AS200" s="435"/>
      <c r="AT200" s="992"/>
    </row>
    <row r="201" spans="1:46" ht="47.25" customHeight="1" x14ac:dyDescent="0.25">
      <c r="B201" s="15">
        <v>195</v>
      </c>
      <c r="C201" s="439"/>
      <c r="D201" s="439" t="str">
        <f t="shared" si="38"/>
        <v>2014</v>
      </c>
      <c r="E201" s="344" t="s">
        <v>274</v>
      </c>
      <c r="F201" s="132" t="s">
        <v>275</v>
      </c>
      <c r="G201" s="133">
        <v>900587953</v>
      </c>
      <c r="H201" s="1024" t="s">
        <v>1450</v>
      </c>
      <c r="I201" s="140">
        <v>2122000</v>
      </c>
      <c r="J201" s="134" t="s">
        <v>2155</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2" t="str">
        <f>IFERROR(VLOOKUP(E201,'liquidaciones '!$B$2:$C$1048576,2,0),"NO")</f>
        <v>LIQUIDADO</v>
      </c>
      <c r="AO201" s="972">
        <f>IFERROR(VLOOKUP(E201,'liquidaciones '!$B$2:$I$1048576,8,0),"")</f>
        <v>0</v>
      </c>
      <c r="AP201" s="339"/>
      <c r="AQ201" s="177" t="str">
        <f t="shared" ca="1" si="35"/>
        <v>NO</v>
      </c>
      <c r="AR201" s="177" t="s">
        <v>2394</v>
      </c>
      <c r="AS201" s="435"/>
      <c r="AT201" s="992"/>
    </row>
    <row r="202" spans="1:46" ht="47.25" customHeight="1" x14ac:dyDescent="0.25">
      <c r="B202" s="15">
        <v>196</v>
      </c>
      <c r="C202" s="439"/>
      <c r="D202" s="439" t="str">
        <f t="shared" si="38"/>
        <v>2014</v>
      </c>
      <c r="E202" s="344" t="s">
        <v>279</v>
      </c>
      <c r="F202" s="132" t="s">
        <v>53</v>
      </c>
      <c r="G202" s="133">
        <v>4831</v>
      </c>
      <c r="H202" s="1024" t="s">
        <v>1771</v>
      </c>
      <c r="I202" s="140">
        <v>20872000</v>
      </c>
      <c r="J202" s="702" t="s">
        <v>2414</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2" t="str">
        <f>IFERROR(VLOOKUP(E202,'liquidaciones '!$B$2:$C$1048576,2,0),"NO")</f>
        <v>LIQUIDADO</v>
      </c>
      <c r="AO202" s="972">
        <f>IFERROR(VLOOKUP(E202,'liquidaciones '!$B$2:$I$1048576,8,0),"")</f>
        <v>0</v>
      </c>
      <c r="AP202" s="339">
        <v>42240</v>
      </c>
      <c r="AQ202" s="177" t="str">
        <f t="shared" ca="1" si="35"/>
        <v>NO</v>
      </c>
      <c r="AR202" s="177" t="s">
        <v>982</v>
      </c>
      <c r="AS202" s="435"/>
      <c r="AT202" s="992"/>
    </row>
    <row r="203" spans="1:46" ht="47.25" customHeight="1" x14ac:dyDescent="0.25">
      <c r="B203" s="15">
        <v>197</v>
      </c>
      <c r="C203" s="439"/>
      <c r="D203" s="439" t="str">
        <f t="shared" si="38"/>
        <v>2014</v>
      </c>
      <c r="E203" s="139" t="s">
        <v>282</v>
      </c>
      <c r="F203" s="132" t="s">
        <v>418</v>
      </c>
      <c r="G203" s="133">
        <v>891501783</v>
      </c>
      <c r="H203" s="1024" t="s">
        <v>526</v>
      </c>
      <c r="I203" s="140">
        <v>12145200</v>
      </c>
      <c r="J203" s="876" t="s">
        <v>2676</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2" t="str">
        <f>IFERROR(VLOOKUP(E203,'liquidaciones '!$B$2:$C$1048576,2,0),"NO")</f>
        <v>LIQUIDADO</v>
      </c>
      <c r="AO203" s="972">
        <f>IFERROR(VLOOKUP(E203,'liquidaciones '!$B$2:$I$1048576,8,0),"")</f>
        <v>0</v>
      </c>
      <c r="AP203" s="339">
        <v>42023</v>
      </c>
      <c r="AQ203" s="177" t="str">
        <f t="shared" ca="1" si="35"/>
        <v>NO</v>
      </c>
      <c r="AR203" s="177" t="s">
        <v>981</v>
      </c>
      <c r="AS203" s="435"/>
      <c r="AT203" s="992"/>
    </row>
    <row r="204" spans="1:46" ht="47.25" customHeight="1" x14ac:dyDescent="0.25">
      <c r="B204" s="15">
        <v>198</v>
      </c>
      <c r="C204" s="439"/>
      <c r="D204" s="439" t="str">
        <f t="shared" si="38"/>
        <v>2014</v>
      </c>
      <c r="E204" s="139" t="s">
        <v>280</v>
      </c>
      <c r="F204" s="132" t="s">
        <v>281</v>
      </c>
      <c r="G204" s="133">
        <v>900414308</v>
      </c>
      <c r="H204" s="1024" t="s">
        <v>527</v>
      </c>
      <c r="I204" s="140">
        <v>1700007</v>
      </c>
      <c r="J204" s="876" t="s">
        <v>2677</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2" t="str">
        <f>IFERROR(VLOOKUP(E204,'liquidaciones '!$B$2:$C$1048576,2,0),"NO")</f>
        <v>NO</v>
      </c>
      <c r="AO204" s="972" t="str">
        <f>IFERROR(VLOOKUP(E204,'liquidaciones '!$B$2:$I$1048576,8,0),"")</f>
        <v/>
      </c>
      <c r="AP204" s="339"/>
      <c r="AQ204" s="177" t="str">
        <f t="shared" ca="1" si="35"/>
        <v>NO</v>
      </c>
      <c r="AR204" s="177" t="s">
        <v>1166</v>
      </c>
      <c r="AS204" s="435"/>
      <c r="AT204" s="992"/>
    </row>
    <row r="205" spans="1:46" ht="47.25" customHeight="1" x14ac:dyDescent="0.25">
      <c r="B205" s="15">
        <v>199</v>
      </c>
      <c r="C205" s="439"/>
      <c r="D205" s="439" t="str">
        <f t="shared" si="38"/>
        <v>2014</v>
      </c>
      <c r="E205" s="139" t="s">
        <v>276</v>
      </c>
      <c r="F205" s="132" t="s">
        <v>277</v>
      </c>
      <c r="G205" s="133">
        <v>830055827</v>
      </c>
      <c r="H205" s="1024"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2" t="str">
        <f>IFERROR(VLOOKUP(E205,'liquidaciones '!$B$2:$C$1048576,2,0),"NO")</f>
        <v>LIQUIDADO</v>
      </c>
      <c r="AO205" s="972">
        <f>IFERROR(VLOOKUP(E205,'liquidaciones '!$B$2:$I$1048576,8,0),"")</f>
        <v>0</v>
      </c>
      <c r="AP205" s="339"/>
      <c r="AQ205" s="177" t="str">
        <f t="shared" ca="1" si="35"/>
        <v>NO</v>
      </c>
      <c r="AR205" s="177" t="s">
        <v>1573</v>
      </c>
      <c r="AS205" s="435"/>
      <c r="AT205" s="992"/>
    </row>
    <row r="206" spans="1:46" ht="47.25" customHeight="1" x14ac:dyDescent="0.25">
      <c r="B206" s="15">
        <v>200</v>
      </c>
      <c r="C206" s="439"/>
      <c r="D206" s="439" t="str">
        <f t="shared" si="38"/>
        <v>2014</v>
      </c>
      <c r="E206" s="139" t="s">
        <v>283</v>
      </c>
      <c r="F206" s="132" t="s">
        <v>284</v>
      </c>
      <c r="G206" s="133">
        <v>830055842</v>
      </c>
      <c r="H206" s="1024" t="s">
        <v>528</v>
      </c>
      <c r="I206" s="140">
        <v>40000000</v>
      </c>
      <c r="J206" s="876" t="s">
        <v>2625</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2" t="str">
        <f>IFERROR(VLOOKUP(E206,'liquidaciones '!$B$2:$C$1048576,2,0),"NO")</f>
        <v>LIQUIDADO</v>
      </c>
      <c r="AO206" s="972">
        <f>IFERROR(VLOOKUP(E206,'liquidaciones '!$B$2:$I$1048576,8,0),"")</f>
        <v>0</v>
      </c>
      <c r="AP206" s="339"/>
      <c r="AQ206" s="177" t="str">
        <f t="shared" ca="1" si="35"/>
        <v>NO</v>
      </c>
      <c r="AR206" s="177" t="s">
        <v>1511</v>
      </c>
      <c r="AS206" s="435"/>
      <c r="AT206" s="992"/>
    </row>
    <row r="207" spans="1:46" ht="89.25" customHeight="1" x14ac:dyDescent="0.25">
      <c r="B207" s="15">
        <v>201</v>
      </c>
      <c r="C207" s="439"/>
      <c r="D207" s="439" t="str">
        <f t="shared" si="38"/>
        <v>2014</v>
      </c>
      <c r="E207" s="205" t="s">
        <v>1097</v>
      </c>
      <c r="F207" s="206" t="s">
        <v>1098</v>
      </c>
      <c r="G207" s="218"/>
      <c r="H207" s="1027"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2" t="str">
        <f>IFERROR(VLOOKUP(E207,'liquidaciones '!$B$2:$C$1048576,2,0),"NO")</f>
        <v>NO</v>
      </c>
      <c r="AO207" s="972" t="str">
        <f>IFERROR(VLOOKUP(E207,'liquidaciones '!$B$2:$I$1048576,8,0),"")</f>
        <v/>
      </c>
      <c r="AP207" s="339"/>
      <c r="AQ207" s="177" t="str">
        <f t="shared" ref="AQ207:AQ221" ca="1" si="47">IF((TODAY()-T207&lt;900),"SI","NO")</f>
        <v>NO</v>
      </c>
      <c r="AR207" s="177" t="s">
        <v>2990</v>
      </c>
      <c r="AS207" s="435"/>
      <c r="AT207" s="992"/>
    </row>
    <row r="208" spans="1:46" ht="47.25" customHeight="1" x14ac:dyDescent="0.25">
      <c r="B208" s="15">
        <v>202</v>
      </c>
      <c r="C208" s="439"/>
      <c r="D208" s="439" t="str">
        <f t="shared" si="38"/>
        <v>2014</v>
      </c>
      <c r="E208" s="139" t="s">
        <v>289</v>
      </c>
      <c r="F208" s="132" t="s">
        <v>290</v>
      </c>
      <c r="G208" s="133">
        <v>811021363</v>
      </c>
      <c r="H208" s="1024" t="s">
        <v>529</v>
      </c>
      <c r="I208" s="140">
        <v>9998117</v>
      </c>
      <c r="J208" s="876" t="s">
        <v>2626</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2" t="str">
        <f>IFERROR(VLOOKUP(E208,'liquidaciones '!$B$2:$C$1048576,2,0),"NO")</f>
        <v>LIQUIDADO</v>
      </c>
      <c r="AO208" s="972">
        <f>IFERROR(VLOOKUP(E208,'liquidaciones '!$B$2:$I$1048576,8,0),"")</f>
        <v>0</v>
      </c>
      <c r="AP208" s="339">
        <v>42306</v>
      </c>
      <c r="AQ208" s="177" t="str">
        <f t="shared" ca="1" si="47"/>
        <v>NO</v>
      </c>
      <c r="AR208" s="177" t="s">
        <v>981</v>
      </c>
      <c r="AS208" s="435"/>
      <c r="AT208" s="992"/>
    </row>
    <row r="209" spans="2:46" ht="47.25" customHeight="1" x14ac:dyDescent="0.25">
      <c r="B209" s="15">
        <v>203</v>
      </c>
      <c r="C209" s="439"/>
      <c r="D209" s="439" t="str">
        <f t="shared" si="38"/>
        <v>2014</v>
      </c>
      <c r="E209" s="139" t="s">
        <v>546</v>
      </c>
      <c r="F209" s="132" t="s">
        <v>310</v>
      </c>
      <c r="G209" s="133">
        <v>800199498</v>
      </c>
      <c r="H209" s="1024"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2" t="str">
        <f>IFERROR(VLOOKUP(E209,'liquidaciones '!$B$2:$C$1048576,2,0),"NO")</f>
        <v>LIQUIDADO</v>
      </c>
      <c r="AO209" s="972">
        <f>IFERROR(VLOOKUP(E209,'liquidaciones '!$B$2:$I$1048576,8,0),"")</f>
        <v>0</v>
      </c>
      <c r="AP209" s="339">
        <v>42051</v>
      </c>
      <c r="AQ209" s="177" t="str">
        <f t="shared" ca="1" si="47"/>
        <v>NO</v>
      </c>
      <c r="AR209" s="177" t="s">
        <v>1152</v>
      </c>
      <c r="AS209" s="435"/>
      <c r="AT209" s="992"/>
    </row>
    <row r="210" spans="2:46" ht="47.25" customHeight="1" x14ac:dyDescent="0.25">
      <c r="B210" s="15">
        <v>204</v>
      </c>
      <c r="C210" s="439"/>
      <c r="D210" s="439" t="str">
        <f t="shared" si="38"/>
        <v>2014</v>
      </c>
      <c r="E210" s="139" t="s">
        <v>300</v>
      </c>
      <c r="F210" s="132" t="s">
        <v>1571</v>
      </c>
      <c r="G210" s="133">
        <v>900599628</v>
      </c>
      <c r="H210" s="1024" t="s">
        <v>530</v>
      </c>
      <c r="I210" s="140">
        <v>12000000</v>
      </c>
      <c r="J210" s="134" t="s">
        <v>2277</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2" t="str">
        <f>IFERROR(VLOOKUP(E210,'liquidaciones '!$B$2:$C$1048576,2,0),"NO")</f>
        <v>LIQUIDADO</v>
      </c>
      <c r="AO210" s="972">
        <f>IFERROR(VLOOKUP(E210,'liquidaciones '!$B$2:$I$1048576,8,0),"")</f>
        <v>0</v>
      </c>
      <c r="AP210" s="339"/>
      <c r="AQ210" s="177" t="str">
        <f t="shared" ca="1" si="47"/>
        <v>NO</v>
      </c>
      <c r="AR210" s="177" t="s">
        <v>981</v>
      </c>
      <c r="AS210" s="435"/>
      <c r="AT210" s="992"/>
    </row>
    <row r="211" spans="2:46" ht="47.25" customHeight="1" x14ac:dyDescent="0.25">
      <c r="B211" s="15">
        <v>205</v>
      </c>
      <c r="C211" s="439"/>
      <c r="D211" s="439" t="str">
        <f t="shared" si="38"/>
        <v>2014</v>
      </c>
      <c r="E211" s="139" t="s">
        <v>296</v>
      </c>
      <c r="F211" s="132" t="s">
        <v>1039</v>
      </c>
      <c r="G211" s="133">
        <v>900207129</v>
      </c>
      <c r="H211" s="1024"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2" t="str">
        <f>IFERROR(VLOOKUP(E211,'liquidaciones '!$B$2:$C$1048576,2,0),"NO")</f>
        <v>LIQUIDADO</v>
      </c>
      <c r="AO211" s="972">
        <f>IFERROR(VLOOKUP(E211,'liquidaciones '!$B$2:$I$1048576,8,0),"")</f>
        <v>0</v>
      </c>
      <c r="AP211" s="339">
        <v>41919</v>
      </c>
      <c r="AQ211" s="177" t="str">
        <f t="shared" ca="1" si="47"/>
        <v>NO</v>
      </c>
      <c r="AR211" s="177" t="s">
        <v>1166</v>
      </c>
      <c r="AS211" s="435"/>
      <c r="AT211" s="992"/>
    </row>
    <row r="212" spans="2:46" ht="47.25" customHeight="1" x14ac:dyDescent="0.25">
      <c r="B212" s="15">
        <v>206</v>
      </c>
      <c r="C212" s="439"/>
      <c r="D212" s="439" t="str">
        <f t="shared" si="38"/>
        <v>2014</v>
      </c>
      <c r="E212" s="344" t="s">
        <v>287</v>
      </c>
      <c r="F212" s="132" t="s">
        <v>1018</v>
      </c>
      <c r="G212" s="133">
        <v>900548648</v>
      </c>
      <c r="H212" s="1024"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2" t="str">
        <f>IFERROR(VLOOKUP(E212,'liquidaciones '!$B$2:$C$1048576,2,0),"NO")</f>
        <v>LIQUIDADO</v>
      </c>
      <c r="AO212" s="972" t="str">
        <f>IFERROR(VLOOKUP(E212,'liquidaciones '!$B$2:$I$1048576,8,0),"")</f>
        <v>MANUEL ROJAS</v>
      </c>
      <c r="AP212" s="339"/>
      <c r="AQ212" s="177" t="str">
        <f t="shared" ca="1" si="47"/>
        <v>NO</v>
      </c>
      <c r="AR212" s="177" t="s">
        <v>1573</v>
      </c>
      <c r="AS212" s="435"/>
      <c r="AT212" s="992"/>
    </row>
    <row r="213" spans="2:46" ht="47.25" customHeight="1" x14ac:dyDescent="0.25">
      <c r="B213" s="15">
        <v>207</v>
      </c>
      <c r="C213" s="439"/>
      <c r="D213" s="439" t="str">
        <f t="shared" si="38"/>
        <v>2014</v>
      </c>
      <c r="E213" s="344" t="s">
        <v>291</v>
      </c>
      <c r="F213" s="132" t="s">
        <v>1048</v>
      </c>
      <c r="G213" s="133">
        <v>900475780</v>
      </c>
      <c r="H213" s="1024"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2" t="str">
        <f>IFERROR(VLOOKUP(E213,'liquidaciones '!$B$2:$C$1048576,2,0),"NO")</f>
        <v>LIQUIDADO</v>
      </c>
      <c r="AO213" s="972">
        <f>IFERROR(VLOOKUP(E213,'liquidaciones '!$B$2:$I$1048576,8,0),"")</f>
        <v>0</v>
      </c>
      <c r="AP213" s="339"/>
      <c r="AQ213" s="177" t="str">
        <f t="shared" ca="1" si="47"/>
        <v>NO</v>
      </c>
      <c r="AR213" s="177" t="s">
        <v>2079</v>
      </c>
      <c r="AS213" s="435"/>
      <c r="AT213" s="992"/>
    </row>
    <row r="214" spans="2:46" ht="47.25" customHeight="1" x14ac:dyDescent="0.25">
      <c r="B214" s="15">
        <v>208</v>
      </c>
      <c r="C214" s="439"/>
      <c r="D214" s="439" t="str">
        <f t="shared" si="38"/>
        <v>2014</v>
      </c>
      <c r="E214" s="344" t="s">
        <v>305</v>
      </c>
      <c r="F214" s="132" t="s">
        <v>306</v>
      </c>
      <c r="G214" s="133">
        <v>900007203</v>
      </c>
      <c r="H214" s="1024"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2" t="str">
        <f>IFERROR(VLOOKUP(E214,'liquidaciones '!$B$2:$C$1048576,2,0),"NO")</f>
        <v>LIQUIDADO</v>
      </c>
      <c r="AO214" s="972">
        <f>IFERROR(VLOOKUP(E214,'liquidaciones '!$B$2:$I$1048576,8,0),"")</f>
        <v>0</v>
      </c>
      <c r="AP214" s="339">
        <v>42306</v>
      </c>
      <c r="AQ214" s="177" t="str">
        <f t="shared" ca="1" si="47"/>
        <v>NO</v>
      </c>
      <c r="AR214" s="177" t="s">
        <v>1152</v>
      </c>
      <c r="AS214" s="435"/>
      <c r="AT214" s="992"/>
    </row>
    <row r="215" spans="2:46" ht="47.25" customHeight="1" x14ac:dyDescent="0.25">
      <c r="B215" s="15">
        <v>209</v>
      </c>
      <c r="C215" s="439"/>
      <c r="D215" s="439" t="str">
        <f t="shared" si="38"/>
        <v>2014</v>
      </c>
      <c r="E215" s="139" t="s">
        <v>285</v>
      </c>
      <c r="F215" s="132" t="s">
        <v>3</v>
      </c>
      <c r="G215" s="133">
        <v>830095213</v>
      </c>
      <c r="H215" s="1024"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2" t="str">
        <f>IFERROR(VLOOKUP(E215,'liquidaciones '!$B$2:$C$1048576,2,0),"NO")</f>
        <v>EN TRÁMITE</v>
      </c>
      <c r="AO215" s="972">
        <f>IFERROR(VLOOKUP(E215,'liquidaciones '!$B$2:$I$1048576,8,0),"")</f>
        <v>0</v>
      </c>
      <c r="AP215" s="339"/>
      <c r="AQ215" s="177" t="str">
        <f t="shared" ca="1" si="47"/>
        <v>NO</v>
      </c>
      <c r="AR215" s="177" t="s">
        <v>1574</v>
      </c>
      <c r="AS215" s="435"/>
      <c r="AT215" s="992"/>
    </row>
    <row r="216" spans="2:46" ht="47.25" customHeight="1" x14ac:dyDescent="0.25">
      <c r="B216" s="15">
        <v>210</v>
      </c>
      <c r="C216" s="439"/>
      <c r="D216" s="439" t="str">
        <f t="shared" si="38"/>
        <v>2014</v>
      </c>
      <c r="E216" s="139" t="s">
        <v>1101</v>
      </c>
      <c r="F216" s="132" t="s">
        <v>435</v>
      </c>
      <c r="G216" s="143">
        <v>900152368</v>
      </c>
      <c r="H216" s="1024"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2" t="str">
        <f>IFERROR(VLOOKUP(E216,'liquidaciones '!$B$2:$C$1048576,2,0),"NO")</f>
        <v>EN TRÁMITE</v>
      </c>
      <c r="AO216" s="972">
        <f>IFERROR(VLOOKUP(E216,'liquidaciones '!$B$2:$I$1048576,8,0),"")</f>
        <v>0</v>
      </c>
      <c r="AP216" s="339"/>
      <c r="AQ216" s="177" t="str">
        <f t="shared" ca="1" si="47"/>
        <v>NO</v>
      </c>
      <c r="AR216" s="177" t="s">
        <v>2394</v>
      </c>
      <c r="AS216" s="435"/>
      <c r="AT216" s="992"/>
    </row>
    <row r="217" spans="2:46" ht="47.25" customHeight="1" x14ac:dyDescent="0.25">
      <c r="B217" s="15">
        <v>211</v>
      </c>
      <c r="C217" s="439"/>
      <c r="D217" s="439" t="str">
        <f t="shared" si="38"/>
        <v>2014</v>
      </c>
      <c r="E217" s="344" t="s">
        <v>299</v>
      </c>
      <c r="F217" s="132" t="s">
        <v>1049</v>
      </c>
      <c r="G217" s="133">
        <v>19303649</v>
      </c>
      <c r="H217" s="1024" t="s">
        <v>535</v>
      </c>
      <c r="I217" s="140">
        <v>2962640</v>
      </c>
      <c r="J217" s="876" t="s">
        <v>4048</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2" t="str">
        <f>IFERROR(VLOOKUP(E217,'liquidaciones '!$B$2:$C$1048576,2,0),"NO")</f>
        <v>LIQUIDADO</v>
      </c>
      <c r="AO217" s="972">
        <f>IFERROR(VLOOKUP(E217,'liquidaciones '!$B$2:$I$1048576,8,0),"")</f>
        <v>0</v>
      </c>
      <c r="AP217" s="335">
        <v>42088</v>
      </c>
      <c r="AQ217" s="177" t="str">
        <f t="shared" ca="1" si="47"/>
        <v>NO</v>
      </c>
      <c r="AR217" s="177" t="s">
        <v>1152</v>
      </c>
      <c r="AS217" s="435"/>
      <c r="AT217" s="992"/>
    </row>
    <row r="218" spans="2:46" ht="47.25" customHeight="1" x14ac:dyDescent="0.25">
      <c r="B218" s="15">
        <v>212</v>
      </c>
      <c r="C218" s="439"/>
      <c r="D218" s="439" t="str">
        <f t="shared" si="38"/>
        <v>2014</v>
      </c>
      <c r="E218" s="344" t="s">
        <v>294</v>
      </c>
      <c r="F218" s="132" t="s">
        <v>295</v>
      </c>
      <c r="G218" s="133">
        <v>900153597</v>
      </c>
      <c r="H218" s="1024" t="s">
        <v>536</v>
      </c>
      <c r="I218" s="140">
        <v>36581760</v>
      </c>
      <c r="J218" s="876" t="s">
        <v>2628</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2" t="str">
        <f>IFERROR(VLOOKUP(E218,'liquidaciones '!$B$2:$C$1048576,2,0),"NO")</f>
        <v>LIQUIDADO</v>
      </c>
      <c r="AO218" s="972">
        <f>IFERROR(VLOOKUP(E218,'liquidaciones '!$B$2:$I$1048576,8,0),"")</f>
        <v>0</v>
      </c>
      <c r="AP218" s="339"/>
      <c r="AQ218" s="177" t="str">
        <f t="shared" ca="1" si="47"/>
        <v>NO</v>
      </c>
      <c r="AR218" s="177" t="s">
        <v>981</v>
      </c>
      <c r="AS218" s="435"/>
      <c r="AT218" s="992"/>
    </row>
    <row r="219" spans="2:46" ht="47.25" customHeight="1" x14ac:dyDescent="0.25">
      <c r="B219" s="15">
        <v>213</v>
      </c>
      <c r="C219" s="439"/>
      <c r="D219" s="439" t="str">
        <f t="shared" si="38"/>
        <v>2014</v>
      </c>
      <c r="E219" s="344" t="s">
        <v>292</v>
      </c>
      <c r="F219" s="132" t="s">
        <v>293</v>
      </c>
      <c r="G219" s="133">
        <v>79619132</v>
      </c>
      <c r="H219" s="1024"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2" t="str">
        <f>IFERROR(VLOOKUP(E219,'liquidaciones '!$B$2:$C$1048576,2,0),"NO")</f>
        <v>LIQUIDADO</v>
      </c>
      <c r="AO219" s="972">
        <f>IFERROR(VLOOKUP(E219,'liquidaciones '!$B$2:$I$1048576,8,0),"")</f>
        <v>0</v>
      </c>
      <c r="AP219" s="339"/>
      <c r="AQ219" s="177" t="str">
        <f t="shared" ca="1" si="47"/>
        <v>NO</v>
      </c>
      <c r="AR219" s="177" t="s">
        <v>981</v>
      </c>
      <c r="AS219" s="435"/>
      <c r="AT219" s="992"/>
    </row>
    <row r="220" spans="2:46" ht="57.75" customHeight="1" x14ac:dyDescent="0.25">
      <c r="B220" s="15">
        <v>214</v>
      </c>
      <c r="C220" s="439"/>
      <c r="D220" s="439" t="str">
        <f t="shared" si="38"/>
        <v>2014</v>
      </c>
      <c r="E220" s="139" t="s">
        <v>298</v>
      </c>
      <c r="F220" s="132" t="s">
        <v>90</v>
      </c>
      <c r="G220" s="133">
        <v>830109807</v>
      </c>
      <c r="H220" s="1024"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2" t="str">
        <f>IFERROR(VLOOKUP(E220,'liquidaciones '!$B$2:$C$1048576,2,0),"NO")</f>
        <v>LIQUIDADO</v>
      </c>
      <c r="AO220" s="972">
        <f>IFERROR(VLOOKUP(E220,'liquidaciones '!$B$2:$I$1048576,8,0),"")</f>
        <v>0</v>
      </c>
      <c r="AP220" s="339"/>
      <c r="AQ220" s="177" t="str">
        <f t="shared" ca="1" si="47"/>
        <v>NO</v>
      </c>
      <c r="AR220" s="177" t="s">
        <v>1511</v>
      </c>
      <c r="AS220" s="435"/>
      <c r="AT220" s="992"/>
    </row>
    <row r="221" spans="2:46" ht="47.25" customHeight="1" x14ac:dyDescent="0.25">
      <c r="B221" s="15">
        <v>215</v>
      </c>
      <c r="C221" s="439"/>
      <c r="D221" s="439" t="str">
        <f t="shared" si="38"/>
        <v>2014</v>
      </c>
      <c r="E221" s="139" t="s">
        <v>302</v>
      </c>
      <c r="F221" s="132" t="s">
        <v>303</v>
      </c>
      <c r="G221" s="133">
        <v>832004433</v>
      </c>
      <c r="H221" s="1024" t="s">
        <v>539</v>
      </c>
      <c r="I221" s="140">
        <v>4672000</v>
      </c>
      <c r="J221" s="702" t="s">
        <v>2231</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2" t="str">
        <f>IFERROR(VLOOKUP(E221,'liquidaciones '!$B$2:$C$1048576,2,0),"NO")</f>
        <v>LIQUIDADO</v>
      </c>
      <c r="AO221" s="972">
        <f>IFERROR(VLOOKUP(E221,'liquidaciones '!$B$2:$I$1048576,8,0),"")</f>
        <v>0</v>
      </c>
      <c r="AP221" s="339">
        <v>42321</v>
      </c>
      <c r="AQ221" s="177" t="str">
        <f t="shared" ca="1" si="47"/>
        <v>NO</v>
      </c>
      <c r="AR221" s="177" t="s">
        <v>1056</v>
      </c>
      <c r="AS221" s="435"/>
      <c r="AT221" s="992"/>
    </row>
    <row r="222" spans="2:46" ht="47.25" customHeight="1" x14ac:dyDescent="0.25">
      <c r="B222" s="15">
        <v>216</v>
      </c>
      <c r="C222" s="439"/>
      <c r="D222" s="439" t="str">
        <f t="shared" si="38"/>
        <v>2014</v>
      </c>
      <c r="E222" s="139" t="s">
        <v>919</v>
      </c>
      <c r="F222" s="132" t="s">
        <v>1104</v>
      </c>
      <c r="G222" s="137"/>
      <c r="H222" s="1024"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2" t="str">
        <f>IFERROR(VLOOKUP(E222,'liquidaciones '!$B$2:$C$1048576,2,0),"NO")</f>
        <v>LIQUIDADO</v>
      </c>
      <c r="AO222" s="972" t="str">
        <f>IFERROR(VLOOKUP(E222,'liquidaciones '!$B$2:$I$1048576,8,0),"")</f>
        <v>JULIETH ANGARITA</v>
      </c>
      <c r="AP222" s="339"/>
      <c r="AQ222" s="177"/>
      <c r="AR222" s="177"/>
      <c r="AS222" s="435"/>
      <c r="AT222" s="992"/>
    </row>
    <row r="223" spans="2:46" ht="57.75" customHeight="1" x14ac:dyDescent="0.25">
      <c r="B223" s="15">
        <v>217</v>
      </c>
      <c r="C223" s="439"/>
      <c r="D223" s="439" t="str">
        <f t="shared" si="38"/>
        <v>2014</v>
      </c>
      <c r="E223" s="344" t="s">
        <v>400</v>
      </c>
      <c r="F223" s="132" t="s">
        <v>198</v>
      </c>
      <c r="G223" s="133">
        <v>900268429</v>
      </c>
      <c r="H223" s="1024"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2" t="str">
        <f>IFERROR(VLOOKUP(E223,'liquidaciones '!$B$2:$C$1048576,2,0),"NO")</f>
        <v>LIQUIDADO</v>
      </c>
      <c r="AO223" s="972">
        <f>IFERROR(VLOOKUP(E223,'liquidaciones '!$B$2:$I$1048576,8,0),"")</f>
        <v>0</v>
      </c>
      <c r="AP223" s="339">
        <v>42376</v>
      </c>
      <c r="AQ223" s="177" t="str">
        <f t="shared" ref="AQ223:AQ254" ca="1" si="49">IF((TODAY()-T223&lt;900),"SI","NO")</f>
        <v>NO</v>
      </c>
      <c r="AR223" s="177" t="s">
        <v>1573</v>
      </c>
      <c r="AS223" s="435"/>
      <c r="AT223" s="992"/>
    </row>
    <row r="224" spans="2:46" ht="63.75" customHeight="1" x14ac:dyDescent="0.25">
      <c r="B224" s="15">
        <v>218</v>
      </c>
      <c r="C224" s="439"/>
      <c r="D224" s="439" t="str">
        <f t="shared" si="38"/>
        <v>2014</v>
      </c>
      <c r="E224" s="344" t="s">
        <v>401</v>
      </c>
      <c r="F224" s="132" t="s">
        <v>547</v>
      </c>
      <c r="G224" s="133">
        <v>830021364</v>
      </c>
      <c r="H224" s="1024"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2" t="str">
        <f>IFERROR(VLOOKUP(E224,'liquidaciones '!$B$2:$C$1048576,2,0),"NO")</f>
        <v>LIQUIDADO</v>
      </c>
      <c r="AO224" s="972">
        <f>IFERROR(VLOOKUP(E224,'liquidaciones '!$B$2:$I$1048576,8,0),"")</f>
        <v>0</v>
      </c>
      <c r="AP224" s="339"/>
      <c r="AQ224" s="177" t="str">
        <f t="shared" ca="1" si="49"/>
        <v>NO</v>
      </c>
      <c r="AR224" s="177" t="s">
        <v>981</v>
      </c>
      <c r="AS224" s="435"/>
      <c r="AT224" s="992"/>
    </row>
    <row r="225" spans="2:46" ht="63" customHeight="1" x14ac:dyDescent="0.25">
      <c r="B225" s="15">
        <v>219</v>
      </c>
      <c r="C225" s="439"/>
      <c r="D225" s="439" t="str">
        <f t="shared" si="38"/>
        <v>2014</v>
      </c>
      <c r="E225" s="344" t="s">
        <v>1334</v>
      </c>
      <c r="F225" s="132" t="s">
        <v>1335</v>
      </c>
      <c r="G225" s="133">
        <v>830145054</v>
      </c>
      <c r="H225" s="1024" t="s">
        <v>1336</v>
      </c>
      <c r="I225" s="140">
        <v>4136000</v>
      </c>
      <c r="J225" s="134" t="s">
        <v>1088</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2" t="str">
        <f>IFERROR(VLOOKUP(E225,'liquidaciones '!$B$2:$C$1048576,2,0),"NO")</f>
        <v>NO</v>
      </c>
      <c r="AO225" s="972" t="str">
        <f>IFERROR(VLOOKUP(E225,'liquidaciones '!$B$2:$I$1048576,8,0),"")</f>
        <v>MANUEL ROJAS</v>
      </c>
      <c r="AP225" s="339"/>
      <c r="AQ225" s="177" t="str">
        <f t="shared" ca="1" si="49"/>
        <v>NO</v>
      </c>
      <c r="AR225" s="177" t="s">
        <v>1574</v>
      </c>
      <c r="AS225" s="435"/>
      <c r="AT225" s="992"/>
    </row>
    <row r="226" spans="2:46" ht="47.25" customHeight="1" x14ac:dyDescent="0.25">
      <c r="B226" s="15">
        <v>220</v>
      </c>
      <c r="C226" s="439"/>
      <c r="D226" s="439" t="str">
        <f t="shared" si="38"/>
        <v>2014</v>
      </c>
      <c r="E226" s="344" t="s">
        <v>297</v>
      </c>
      <c r="F226" s="132" t="s">
        <v>999</v>
      </c>
      <c r="G226" s="133">
        <v>860066942</v>
      </c>
      <c r="H226" s="1024"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2" t="str">
        <f>IFERROR(VLOOKUP(E226,'liquidaciones '!$B$2:$C$1048576,2,0),"NO")</f>
        <v>LIQUIDADO</v>
      </c>
      <c r="AO226" s="972">
        <f>IFERROR(VLOOKUP(E226,'liquidaciones '!$B$2:$I$1048576,8,0),"")</f>
        <v>0</v>
      </c>
      <c r="AP226" s="339">
        <v>42345</v>
      </c>
      <c r="AQ226" s="177" t="str">
        <f t="shared" ca="1" si="49"/>
        <v>NO</v>
      </c>
      <c r="AR226" s="177" t="s">
        <v>2079</v>
      </c>
      <c r="AS226" s="435"/>
      <c r="AT226" s="992"/>
    </row>
    <row r="227" spans="2:46" ht="47.25" customHeight="1" x14ac:dyDescent="0.25">
      <c r="B227" s="15">
        <v>221</v>
      </c>
      <c r="C227" s="439"/>
      <c r="D227" s="439" t="str">
        <f t="shared" si="38"/>
        <v>2014</v>
      </c>
      <c r="E227" s="345" t="s">
        <v>304</v>
      </c>
      <c r="F227" s="164" t="s">
        <v>1006</v>
      </c>
      <c r="G227" s="165">
        <v>830040274</v>
      </c>
      <c r="H227" s="1028" t="s">
        <v>371</v>
      </c>
      <c r="I227" s="166">
        <v>2228070</v>
      </c>
      <c r="J227" s="134" t="s">
        <v>1088</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2" t="str">
        <f>IFERROR(VLOOKUP(E227,'liquidaciones '!$B$2:$C$1048576,2,0),"NO")</f>
        <v>LIQUIDADO</v>
      </c>
      <c r="AO227" s="972">
        <f>IFERROR(VLOOKUP(E227,'liquidaciones '!$B$2:$I$1048576,8,0),"")</f>
        <v>0</v>
      </c>
      <c r="AP227" s="339">
        <v>42265</v>
      </c>
      <c r="AQ227" s="177" t="str">
        <f t="shared" ca="1" si="49"/>
        <v>NO</v>
      </c>
      <c r="AR227" s="177" t="s">
        <v>981</v>
      </c>
      <c r="AS227" s="435"/>
      <c r="AT227" s="992"/>
    </row>
    <row r="228" spans="2:46" ht="47.25" customHeight="1" x14ac:dyDescent="0.25">
      <c r="B228" s="15">
        <v>222</v>
      </c>
      <c r="C228" s="439"/>
      <c r="D228" s="439" t="str">
        <f t="shared" si="38"/>
        <v>2014</v>
      </c>
      <c r="E228" s="345" t="s">
        <v>308</v>
      </c>
      <c r="F228" s="164" t="s">
        <v>1050</v>
      </c>
      <c r="G228" s="165">
        <v>800047094</v>
      </c>
      <c r="H228" s="1028"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2" t="str">
        <f>IFERROR(VLOOKUP(E228,'liquidaciones '!$B$2:$C$1048576,2,0),"NO")</f>
        <v>LIQUIDADO</v>
      </c>
      <c r="AO228" s="972">
        <f>IFERROR(VLOOKUP(E228,'liquidaciones '!$B$2:$I$1048576,8,0),"")</f>
        <v>0</v>
      </c>
      <c r="AP228" s="339">
        <v>42150</v>
      </c>
      <c r="AQ228" s="177" t="str">
        <f t="shared" ca="1" si="49"/>
        <v>NO</v>
      </c>
      <c r="AR228" s="177" t="s">
        <v>1152</v>
      </c>
      <c r="AS228" s="435"/>
      <c r="AT228" s="992"/>
    </row>
    <row r="229" spans="2:46" ht="47.25" customHeight="1" x14ac:dyDescent="0.25">
      <c r="B229" s="15">
        <v>223</v>
      </c>
      <c r="C229" s="439"/>
      <c r="D229" s="439" t="str">
        <f t="shared" si="38"/>
        <v>2014</v>
      </c>
      <c r="E229" s="345" t="s">
        <v>307</v>
      </c>
      <c r="F229" s="164" t="s">
        <v>144</v>
      </c>
      <c r="G229" s="165">
        <v>900450570</v>
      </c>
      <c r="H229" s="1028" t="s">
        <v>372</v>
      </c>
      <c r="I229" s="166">
        <v>202978686</v>
      </c>
      <c r="J229" s="134" t="s">
        <v>1088</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2" t="str">
        <f>IFERROR(VLOOKUP(E229,'liquidaciones '!$B$2:$C$1048576,2,0),"NO")</f>
        <v>LIQUIDADO</v>
      </c>
      <c r="AO229" s="972">
        <f>IFERROR(VLOOKUP(E229,'liquidaciones '!$B$2:$I$1048576,8,0),"")</f>
        <v>0</v>
      </c>
      <c r="AP229" s="339">
        <v>42278</v>
      </c>
      <c r="AQ229" s="177" t="str">
        <f t="shared" ca="1" si="49"/>
        <v>NO</v>
      </c>
      <c r="AR229" s="177" t="s">
        <v>982</v>
      </c>
      <c r="AS229" s="435"/>
      <c r="AT229" s="992"/>
    </row>
    <row r="230" spans="2:46" ht="47.25" customHeight="1" x14ac:dyDescent="0.25">
      <c r="B230" s="15">
        <v>224</v>
      </c>
      <c r="C230" s="439"/>
      <c r="D230" s="439" t="str">
        <f t="shared" si="38"/>
        <v>2014</v>
      </c>
      <c r="E230" s="346" t="s">
        <v>1163</v>
      </c>
      <c r="F230" s="212" t="s">
        <v>1164</v>
      </c>
      <c r="G230" s="204">
        <v>800188299</v>
      </c>
      <c r="H230" s="1029" t="s">
        <v>2136</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2" t="str">
        <f>IFERROR(VLOOKUP(E230,'liquidaciones '!$B$2:$C$1048576,2,0),"NO")</f>
        <v>LIQUIDADO</v>
      </c>
      <c r="AO230" s="972">
        <f>IFERROR(VLOOKUP(E230,'liquidaciones '!$B$2:$I$1048576,8,0),"")</f>
        <v>0</v>
      </c>
      <c r="AP230" s="339"/>
      <c r="AQ230" s="177" t="str">
        <f t="shared" ca="1" si="49"/>
        <v>NO</v>
      </c>
      <c r="AR230" s="177" t="s">
        <v>1995</v>
      </c>
      <c r="AS230" s="435"/>
      <c r="AT230" s="992"/>
    </row>
    <row r="231" spans="2:46" ht="47.25" customHeight="1" x14ac:dyDescent="0.25">
      <c r="B231" s="15">
        <v>225</v>
      </c>
      <c r="C231" s="439"/>
      <c r="D231" s="439" t="str">
        <f t="shared" si="38"/>
        <v>2014</v>
      </c>
      <c r="E231" s="346" t="s">
        <v>1156</v>
      </c>
      <c r="F231" s="212" t="s">
        <v>33</v>
      </c>
      <c r="G231" s="133">
        <v>860509265</v>
      </c>
      <c r="H231" s="1029"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2171</v>
      </c>
      <c r="AJ231" s="174" t="s">
        <v>954</v>
      </c>
      <c r="AK231" s="181" t="str">
        <f t="shared" ca="1" si="46"/>
        <v>TERMINO</v>
      </c>
      <c r="AL231" s="181" t="s">
        <v>582</v>
      </c>
      <c r="AM231" s="176" t="s">
        <v>390</v>
      </c>
      <c r="AN231" s="872" t="str">
        <f>IFERROR(VLOOKUP(E231,'liquidaciones '!$B$2:$C$1048576,2,0),"NO")</f>
        <v>LIQUIDADO</v>
      </c>
      <c r="AO231" s="972">
        <f>IFERROR(VLOOKUP(E231,'liquidaciones '!$B$2:$I$1048576,8,0),"")</f>
        <v>0</v>
      </c>
      <c r="AP231" s="339"/>
      <c r="AQ231" s="177" t="str">
        <f t="shared" ca="1" si="49"/>
        <v>NO</v>
      </c>
      <c r="AR231" s="177" t="s">
        <v>1610</v>
      </c>
      <c r="AS231" s="435"/>
      <c r="AT231" s="992"/>
    </row>
    <row r="232" spans="2:46" ht="47.25" customHeight="1" x14ac:dyDescent="0.25">
      <c r="B232" s="15">
        <v>226</v>
      </c>
      <c r="C232" s="439"/>
      <c r="D232" s="439" t="str">
        <f t="shared" si="38"/>
        <v>2014</v>
      </c>
      <c r="E232" s="346" t="s">
        <v>548</v>
      </c>
      <c r="F232" s="132" t="s">
        <v>13</v>
      </c>
      <c r="G232" s="133">
        <v>860007590</v>
      </c>
      <c r="H232" s="1029"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2171</v>
      </c>
      <c r="AJ232" s="174" t="s">
        <v>954</v>
      </c>
      <c r="AK232" s="181" t="str">
        <f t="shared" ca="1" si="46"/>
        <v>TERMINO</v>
      </c>
      <c r="AL232" s="181" t="s">
        <v>582</v>
      </c>
      <c r="AM232" s="176" t="s">
        <v>390</v>
      </c>
      <c r="AN232" s="872" t="str">
        <f>IFERROR(VLOOKUP(E232,'liquidaciones '!$B$2:$C$1048576,2,0),"NO")</f>
        <v>LIQUIDADO</v>
      </c>
      <c r="AO232" s="972">
        <f>IFERROR(VLOOKUP(E232,'liquidaciones '!$B$2:$I$1048576,8,0),"")</f>
        <v>0</v>
      </c>
      <c r="AP232" s="339">
        <v>42377</v>
      </c>
      <c r="AQ232" s="177" t="str">
        <f t="shared" ca="1" si="49"/>
        <v>NO</v>
      </c>
      <c r="AR232" s="177" t="s">
        <v>1511</v>
      </c>
      <c r="AS232" s="435"/>
      <c r="AT232" s="992"/>
    </row>
    <row r="233" spans="2:46" ht="47.25" customHeight="1" x14ac:dyDescent="0.25">
      <c r="B233" s="15">
        <v>227</v>
      </c>
      <c r="C233" s="439"/>
      <c r="D233" s="439" t="str">
        <f t="shared" si="38"/>
        <v>2014</v>
      </c>
      <c r="E233" s="345" t="s">
        <v>551</v>
      </c>
      <c r="F233" s="132" t="s">
        <v>29</v>
      </c>
      <c r="G233" s="133">
        <v>860536029</v>
      </c>
      <c r="H233" s="1028"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2171</v>
      </c>
      <c r="AJ233" s="174" t="s">
        <v>954</v>
      </c>
      <c r="AK233" s="181" t="str">
        <f t="shared" ca="1" si="46"/>
        <v>TERMINO</v>
      </c>
      <c r="AL233" s="181" t="s">
        <v>582</v>
      </c>
      <c r="AM233" s="176" t="s">
        <v>390</v>
      </c>
      <c r="AN233" s="872" t="str">
        <f>IFERROR(VLOOKUP(E233,'liquidaciones '!$B$2:$C$1048576,2,0),"NO")</f>
        <v>LIQUIDADO</v>
      </c>
      <c r="AO233" s="972">
        <f>IFERROR(VLOOKUP(E233,'liquidaciones '!$B$2:$I$1048576,8,0),"")</f>
        <v>0</v>
      </c>
      <c r="AP233" s="339">
        <v>42318</v>
      </c>
      <c r="AQ233" s="177" t="str">
        <f t="shared" ca="1" si="49"/>
        <v>NO</v>
      </c>
      <c r="AR233" s="177" t="s">
        <v>1511</v>
      </c>
      <c r="AS233" s="435"/>
      <c r="AT233" s="992"/>
    </row>
    <row r="234" spans="2:46" ht="47.25" customHeight="1" x14ac:dyDescent="0.25">
      <c r="B234" s="15">
        <v>228</v>
      </c>
      <c r="C234" s="439"/>
      <c r="D234" s="439" t="str">
        <f t="shared" si="38"/>
        <v>2014</v>
      </c>
      <c r="E234" s="345" t="s">
        <v>553</v>
      </c>
      <c r="F234" s="164" t="s">
        <v>554</v>
      </c>
      <c r="G234" s="165">
        <v>830144875</v>
      </c>
      <c r="H234" s="1028"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2" t="str">
        <f>IFERROR(VLOOKUP(E234,'liquidaciones '!$B$2:$C$1048576,2,0),"NO")</f>
        <v>LIQUIDADO</v>
      </c>
      <c r="AO234" s="972">
        <f>IFERROR(VLOOKUP(E234,'liquidaciones '!$B$2:$I$1048576,8,0),"")</f>
        <v>0</v>
      </c>
      <c r="AP234" s="339"/>
      <c r="AQ234" s="177" t="str">
        <f t="shared" ca="1" si="49"/>
        <v>NO</v>
      </c>
      <c r="AR234" s="177" t="s">
        <v>2394</v>
      </c>
      <c r="AS234" s="435"/>
      <c r="AT234" s="992"/>
    </row>
    <row r="235" spans="2:46" ht="47.25" customHeight="1" x14ac:dyDescent="0.25">
      <c r="B235" s="15">
        <v>229</v>
      </c>
      <c r="C235" s="439"/>
      <c r="D235" s="439" t="str">
        <f t="shared" si="38"/>
        <v>2014</v>
      </c>
      <c r="E235" s="345" t="s">
        <v>1330</v>
      </c>
      <c r="F235" s="164" t="s">
        <v>1020</v>
      </c>
      <c r="G235" s="133">
        <v>900169179</v>
      </c>
      <c r="H235" s="1028" t="s">
        <v>1331</v>
      </c>
      <c r="I235" s="166">
        <v>810000</v>
      </c>
      <c r="J235" s="876" t="s">
        <v>2629</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2171</v>
      </c>
      <c r="AJ235" s="174" t="s">
        <v>954</v>
      </c>
      <c r="AK235" s="181" t="str">
        <f t="shared" ca="1" si="46"/>
        <v>TERMINO</v>
      </c>
      <c r="AL235" s="181" t="s">
        <v>582</v>
      </c>
      <c r="AM235" s="176" t="s">
        <v>390</v>
      </c>
      <c r="AN235" s="872" t="str">
        <f>IFERROR(VLOOKUP(E235,'liquidaciones '!$B$2:$C$1048576,2,0),"NO")</f>
        <v>LIQUIDADO</v>
      </c>
      <c r="AO235" s="972">
        <f>IFERROR(VLOOKUP(E235,'liquidaciones '!$B$2:$I$1048576,8,0),"")</f>
        <v>0</v>
      </c>
      <c r="AP235" s="339">
        <v>42341</v>
      </c>
      <c r="AQ235" s="177" t="str">
        <f t="shared" ca="1" si="49"/>
        <v>NO</v>
      </c>
      <c r="AR235" s="177" t="s">
        <v>1610</v>
      </c>
      <c r="AS235" s="435"/>
      <c r="AT235" s="992"/>
    </row>
    <row r="236" spans="2:46" ht="47.25" customHeight="1" x14ac:dyDescent="0.25">
      <c r="B236" s="15">
        <v>230</v>
      </c>
      <c r="C236" s="439"/>
      <c r="D236" s="439" t="str">
        <f t="shared" si="38"/>
        <v>2014</v>
      </c>
      <c r="E236" s="345" t="s">
        <v>1337</v>
      </c>
      <c r="F236" s="164" t="s">
        <v>203</v>
      </c>
      <c r="G236" s="133">
        <v>860049921</v>
      </c>
      <c r="H236" s="1028"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2" t="str">
        <f>IFERROR(VLOOKUP(E236,'liquidaciones '!$B$2:$C$1048576,2,0),"NO")</f>
        <v>LIQUIDADO</v>
      </c>
      <c r="AO236" s="972">
        <f>IFERROR(VLOOKUP(E236,'liquidaciones '!$B$2:$I$1048576,8,0),"")</f>
        <v>0</v>
      </c>
      <c r="AP236" s="339"/>
      <c r="AQ236" s="177" t="str">
        <f t="shared" ca="1" si="49"/>
        <v>NO</v>
      </c>
      <c r="AR236" s="177" t="s">
        <v>1573</v>
      </c>
      <c r="AS236" s="435"/>
      <c r="AT236" s="992"/>
    </row>
    <row r="237" spans="2:46" ht="47.25" customHeight="1" x14ac:dyDescent="0.25">
      <c r="B237" s="15">
        <v>231</v>
      </c>
      <c r="C237" s="439"/>
      <c r="D237" s="439" t="str">
        <f t="shared" si="38"/>
        <v>2014</v>
      </c>
      <c r="E237" s="345" t="s">
        <v>1161</v>
      </c>
      <c r="F237" s="164" t="s">
        <v>1162</v>
      </c>
      <c r="G237" s="165">
        <v>800180176</v>
      </c>
      <c r="H237" s="1028"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2" t="str">
        <f>IFERROR(VLOOKUP(E237,'liquidaciones '!$B$2:$C$1048576,2,0),"NO")</f>
        <v>LIQUIDADO</v>
      </c>
      <c r="AO237" s="972">
        <f>IFERROR(VLOOKUP(E237,'liquidaciones '!$B$2:$I$1048576,8,0),"")</f>
        <v>0</v>
      </c>
      <c r="AP237" s="339"/>
      <c r="AQ237" s="177" t="str">
        <f t="shared" ca="1" si="49"/>
        <v>NO</v>
      </c>
      <c r="AR237" s="177" t="s">
        <v>2394</v>
      </c>
      <c r="AS237" s="435"/>
      <c r="AT237" s="992"/>
    </row>
    <row r="238" spans="2:46" ht="47.25" customHeight="1" x14ac:dyDescent="0.25">
      <c r="B238" s="15">
        <v>232</v>
      </c>
      <c r="C238" s="439"/>
      <c r="D238" s="439" t="str">
        <f t="shared" si="38"/>
        <v>2014</v>
      </c>
      <c r="E238" s="345" t="s">
        <v>555</v>
      </c>
      <c r="F238" s="164" t="s">
        <v>1067</v>
      </c>
      <c r="G238" s="165">
        <v>52857895</v>
      </c>
      <c r="H238" s="1028"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2" t="str">
        <f>IFERROR(VLOOKUP(E238,'liquidaciones '!$B$2:$C$1048576,2,0),"NO")</f>
        <v>LIQUIDADO</v>
      </c>
      <c r="AO238" s="972">
        <f>IFERROR(VLOOKUP(E238,'liquidaciones '!$B$2:$I$1048576,8,0),"")</f>
        <v>0</v>
      </c>
      <c r="AP238" s="339">
        <v>42145</v>
      </c>
      <c r="AQ238" s="177" t="str">
        <f t="shared" ca="1" si="49"/>
        <v>NO</v>
      </c>
      <c r="AR238" s="177" t="s">
        <v>981</v>
      </c>
      <c r="AS238" s="435"/>
      <c r="AT238" s="992"/>
    </row>
    <row r="239" spans="2:46" ht="47.25" customHeight="1" x14ac:dyDescent="0.25">
      <c r="B239" s="15">
        <v>233</v>
      </c>
      <c r="C239" s="439"/>
      <c r="D239" s="439" t="str">
        <f t="shared" si="38"/>
        <v>2014</v>
      </c>
      <c r="E239" s="345" t="s">
        <v>556</v>
      </c>
      <c r="F239" s="164" t="s">
        <v>1004</v>
      </c>
      <c r="G239" s="165">
        <v>1026250449</v>
      </c>
      <c r="H239" s="1028"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2" t="str">
        <f>IFERROR(VLOOKUP(E239,'liquidaciones '!$B$2:$C$1048576,2,0),"NO")</f>
        <v>LIQUIDADO</v>
      </c>
      <c r="AO239" s="972">
        <f>IFERROR(VLOOKUP(E239,'liquidaciones '!$B$2:$I$1048576,8,0),"")</f>
        <v>0</v>
      </c>
      <c r="AP239" s="339">
        <v>42254</v>
      </c>
      <c r="AQ239" s="177" t="str">
        <f t="shared" ca="1" si="49"/>
        <v>NO</v>
      </c>
      <c r="AR239" s="177" t="s">
        <v>981</v>
      </c>
      <c r="AS239" s="435"/>
      <c r="AT239" s="992"/>
    </row>
    <row r="240" spans="2:46" ht="47.25" customHeight="1" x14ac:dyDescent="0.25">
      <c r="B240" s="15">
        <v>234</v>
      </c>
      <c r="C240" s="439"/>
      <c r="D240" s="439" t="str">
        <f t="shared" si="38"/>
        <v>2014</v>
      </c>
      <c r="E240" s="345" t="s">
        <v>1158</v>
      </c>
      <c r="F240" s="132" t="s">
        <v>186</v>
      </c>
      <c r="G240" s="133">
        <v>800039398</v>
      </c>
      <c r="H240" s="1028" t="s">
        <v>1317</v>
      </c>
      <c r="I240" s="166">
        <v>311460000</v>
      </c>
      <c r="J240" s="876" t="s">
        <v>2623</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5">
        <v>0</v>
      </c>
      <c r="Y240" s="42">
        <f t="shared" si="41"/>
        <v>0.3</v>
      </c>
      <c r="Z240" s="42">
        <f t="shared" ca="1" si="42"/>
        <v>1</v>
      </c>
      <c r="AA240" s="43">
        <f t="shared" ca="1" si="43"/>
        <v>0.7</v>
      </c>
      <c r="AB240" s="202" t="str">
        <f t="shared" ca="1" si="44"/>
        <v/>
      </c>
      <c r="AC240" s="44" t="str">
        <f t="shared" si="48"/>
        <v>NO</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2" t="str">
        <f>IFERROR(VLOOKUP(E240,'liquidaciones '!$B$2:$C$1048576,2,0),"NO")</f>
        <v>LIQUIDADO</v>
      </c>
      <c r="AO240" s="972">
        <f>IFERROR(VLOOKUP(E240,'liquidaciones '!$B$2:$I$1048576,8,0),"")</f>
        <v>0</v>
      </c>
      <c r="AP240" s="339">
        <v>42298</v>
      </c>
      <c r="AQ240" s="177" t="str">
        <f t="shared" ca="1" si="49"/>
        <v>NO</v>
      </c>
      <c r="AR240" s="177" t="s">
        <v>981</v>
      </c>
      <c r="AS240" s="435"/>
      <c r="AT240" s="992"/>
    </row>
    <row r="241" spans="2:46" ht="47.25" customHeight="1" x14ac:dyDescent="0.25">
      <c r="B241" s="15">
        <v>235</v>
      </c>
      <c r="C241" s="439"/>
      <c r="D241" s="439" t="str">
        <f t="shared" si="38"/>
        <v>2014</v>
      </c>
      <c r="E241" s="347" t="s">
        <v>1069</v>
      </c>
      <c r="F241" s="132" t="s">
        <v>1070</v>
      </c>
      <c r="G241" s="165">
        <v>1073156298</v>
      </c>
      <c r="H241" s="1024"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2" t="str">
        <f>IFERROR(VLOOKUP(E241,'liquidaciones '!$B$2:$C$1048576,2,0),"NO")</f>
        <v>LIQUIDADO</v>
      </c>
      <c r="AO241" s="972">
        <f>IFERROR(VLOOKUP(E241,'liquidaciones '!$B$2:$I$1048576,8,0),"")</f>
        <v>0</v>
      </c>
      <c r="AP241" s="339">
        <v>42187</v>
      </c>
      <c r="AQ241" s="177" t="str">
        <f t="shared" ca="1" si="49"/>
        <v>NO</v>
      </c>
      <c r="AR241" s="177" t="s">
        <v>981</v>
      </c>
      <c r="AS241" s="435"/>
      <c r="AT241" s="992"/>
    </row>
    <row r="242" spans="2:46" ht="47.25" customHeight="1" x14ac:dyDescent="0.25">
      <c r="B242" s="15">
        <v>236</v>
      </c>
      <c r="C242" s="439"/>
      <c r="D242" s="439" t="str">
        <f t="shared" si="38"/>
        <v>2014</v>
      </c>
      <c r="E242" s="347" t="s">
        <v>1114</v>
      </c>
      <c r="F242" s="132" t="s">
        <v>1115</v>
      </c>
      <c r="G242" s="165">
        <v>830024826</v>
      </c>
      <c r="H242" s="1024" t="s">
        <v>1116</v>
      </c>
      <c r="I242" s="166">
        <v>14153603</v>
      </c>
      <c r="J242" s="134" t="s">
        <v>1088</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2" t="str">
        <f>IFERROR(VLOOKUP(E242,'liquidaciones '!$B$2:$C$1048576,2,0),"NO")</f>
        <v>LIQUIDADO</v>
      </c>
      <c r="AO242" s="972">
        <f>IFERROR(VLOOKUP(E242,'liquidaciones '!$B$2:$I$1048576,8,0),"")</f>
        <v>0</v>
      </c>
      <c r="AP242" s="339">
        <v>42145</v>
      </c>
      <c r="AQ242" s="177" t="str">
        <f t="shared" ca="1" si="49"/>
        <v>NO</v>
      </c>
      <c r="AR242" s="177" t="s">
        <v>981</v>
      </c>
      <c r="AS242" s="435"/>
      <c r="AT242" s="992"/>
    </row>
    <row r="243" spans="2:46" ht="47.25" customHeight="1" x14ac:dyDescent="0.25">
      <c r="B243" s="15">
        <v>237</v>
      </c>
      <c r="C243" s="439"/>
      <c r="D243" s="439" t="str">
        <f t="shared" si="38"/>
        <v>2014</v>
      </c>
      <c r="E243" s="344" t="s">
        <v>1071</v>
      </c>
      <c r="F243" s="132" t="s">
        <v>1072</v>
      </c>
      <c r="G243" s="165">
        <v>1026269949</v>
      </c>
      <c r="H243" s="1024"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2" t="str">
        <f>IFERROR(VLOOKUP(E243,'liquidaciones '!$B$2:$C$1048576,2,0),"NO")</f>
        <v>LIQUIDADO</v>
      </c>
      <c r="AO243" s="972">
        <f>IFERROR(VLOOKUP(E243,'liquidaciones '!$B$2:$I$1048576,8,0),"")</f>
        <v>0</v>
      </c>
      <c r="AP243" s="339">
        <v>42152</v>
      </c>
      <c r="AQ243" s="177" t="str">
        <f t="shared" ca="1" si="49"/>
        <v>NO</v>
      </c>
      <c r="AR243" s="177" t="s">
        <v>981</v>
      </c>
      <c r="AS243" s="435"/>
      <c r="AT243" s="992"/>
    </row>
    <row r="244" spans="2:46" ht="47.25" customHeight="1" x14ac:dyDescent="0.25">
      <c r="B244" s="15">
        <v>238</v>
      </c>
      <c r="C244" s="439"/>
      <c r="D244" s="439" t="str">
        <f t="shared" si="38"/>
        <v>2014</v>
      </c>
      <c r="E244" s="348" t="s">
        <v>1120</v>
      </c>
      <c r="F244" s="207" t="s">
        <v>1121</v>
      </c>
      <c r="G244" s="20">
        <v>900332071</v>
      </c>
      <c r="H244" s="1030"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2" t="str">
        <f>IFERROR(VLOOKUP(E244,'liquidaciones '!$B$2:$C$1048576,2,0),"NO")</f>
        <v>NO</v>
      </c>
      <c r="AO244" s="972" t="str">
        <f>IFERROR(VLOOKUP(E244,'liquidaciones '!$B$2:$I$1048576,8,0),"")</f>
        <v/>
      </c>
      <c r="AP244" s="339"/>
      <c r="AQ244" s="177" t="str">
        <f t="shared" ca="1" si="49"/>
        <v>NO</v>
      </c>
      <c r="AR244" s="177" t="s">
        <v>981</v>
      </c>
      <c r="AS244" s="435"/>
      <c r="AT244" s="992"/>
    </row>
    <row r="245" spans="2:46" ht="128.25" customHeight="1" x14ac:dyDescent="0.25">
      <c r="B245" s="15">
        <v>239</v>
      </c>
      <c r="C245" s="439"/>
      <c r="D245" s="439" t="str">
        <f t="shared" si="38"/>
        <v>2014</v>
      </c>
      <c r="E245" s="348" t="s">
        <v>1159</v>
      </c>
      <c r="F245" s="207" t="s">
        <v>22</v>
      </c>
      <c r="G245" s="133">
        <v>830112518</v>
      </c>
      <c r="H245" s="1030" t="s">
        <v>1160</v>
      </c>
      <c r="I245" s="209">
        <v>44544000</v>
      </c>
      <c r="J245" s="134" t="s">
        <v>1088</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2" t="str">
        <f>IFERROR(VLOOKUP(E245,'liquidaciones '!$B$2:$C$1048576,2,0),"NO")</f>
        <v>LIQUIDADO</v>
      </c>
      <c r="AO245" s="972">
        <f>IFERROR(VLOOKUP(E245,'liquidaciones '!$B$2:$I$1048576,8,0),"")</f>
        <v>0</v>
      </c>
      <c r="AP245" s="339"/>
      <c r="AQ245" s="177" t="str">
        <f t="shared" ca="1" si="49"/>
        <v>NO</v>
      </c>
      <c r="AR245" s="177" t="s">
        <v>1995</v>
      </c>
      <c r="AS245" s="435"/>
      <c r="AT245" s="992"/>
    </row>
    <row r="246" spans="2:46" ht="47.25" customHeight="1" x14ac:dyDescent="0.25">
      <c r="B246" s="15">
        <v>240</v>
      </c>
      <c r="C246" s="439"/>
      <c r="D246" s="439" t="str">
        <f t="shared" si="38"/>
        <v>2014</v>
      </c>
      <c r="E246" s="348" t="s">
        <v>1111</v>
      </c>
      <c r="F246" s="207" t="s">
        <v>1112</v>
      </c>
      <c r="G246" s="20">
        <v>830005370</v>
      </c>
      <c r="H246" s="1030"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2" t="str">
        <f>IFERROR(VLOOKUP(E246,'liquidaciones '!$B$2:$C$1048576,2,0),"NO")</f>
        <v>LIQUIDADO</v>
      </c>
      <c r="AO246" s="972">
        <f>IFERROR(VLOOKUP(E246,'liquidaciones '!$B$2:$I$1048576,8,0),"")</f>
        <v>0</v>
      </c>
      <c r="AP246" s="339"/>
      <c r="AQ246" s="177" t="str">
        <f t="shared" ca="1" si="49"/>
        <v>NO</v>
      </c>
      <c r="AR246" s="177" t="s">
        <v>2079</v>
      </c>
      <c r="AS246" s="435"/>
      <c r="AT246" s="992"/>
    </row>
    <row r="247" spans="2:46" ht="47.25" customHeight="1" x14ac:dyDescent="0.25">
      <c r="B247" s="15">
        <v>241</v>
      </c>
      <c r="C247" s="439"/>
      <c r="D247" s="439" t="str">
        <f t="shared" si="38"/>
        <v>2014</v>
      </c>
      <c r="E247" s="349" t="s">
        <v>1117</v>
      </c>
      <c r="F247" s="208" t="s">
        <v>1118</v>
      </c>
      <c r="G247" s="151">
        <v>830001338</v>
      </c>
      <c r="H247" s="884" t="s">
        <v>1119</v>
      </c>
      <c r="I247" s="210">
        <v>75520000</v>
      </c>
      <c r="J247" s="134" t="s">
        <v>1088</v>
      </c>
      <c r="K247" s="157">
        <v>2014</v>
      </c>
      <c r="L247" s="548" t="s">
        <v>1088</v>
      </c>
      <c r="M247" s="891">
        <v>41929</v>
      </c>
      <c r="N247" s="891">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2" t="str">
        <f>IFERROR(VLOOKUP(E247,'liquidaciones '!$B$2:$C$1048576,2,0),"NO")</f>
        <v>LIQUIDADO</v>
      </c>
      <c r="AO247" s="972">
        <f>IFERROR(VLOOKUP(E247,'liquidaciones '!$B$2:$I$1048576,8,0),"")</f>
        <v>0</v>
      </c>
      <c r="AP247" s="339"/>
      <c r="AQ247" s="177" t="str">
        <f t="shared" ca="1" si="49"/>
        <v>NO</v>
      </c>
      <c r="AR247" s="177" t="s">
        <v>1995</v>
      </c>
      <c r="AS247" s="435"/>
      <c r="AT247" s="992"/>
    </row>
    <row r="248" spans="2:46" ht="47.25" customHeight="1" x14ac:dyDescent="0.25">
      <c r="B248" s="15">
        <v>242</v>
      </c>
      <c r="C248" s="439"/>
      <c r="D248" s="439" t="str">
        <f t="shared" si="38"/>
        <v>2014</v>
      </c>
      <c r="E248" s="350" t="s">
        <v>1332</v>
      </c>
      <c r="F248" s="173" t="s">
        <v>212</v>
      </c>
      <c r="G248" s="133">
        <v>830080652</v>
      </c>
      <c r="H248" s="1031"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2" t="str">
        <f>IFERROR(VLOOKUP(E248,'liquidaciones '!$B$2:$C$1048576,2,0),"NO")</f>
        <v>LIQUIDADO</v>
      </c>
      <c r="AO248" s="972">
        <f>IFERROR(VLOOKUP(E248,'liquidaciones '!$B$2:$I$1048576,8,0),"")</f>
        <v>0</v>
      </c>
      <c r="AP248" s="339">
        <v>42145</v>
      </c>
      <c r="AQ248" s="177" t="str">
        <f t="shared" ca="1" si="49"/>
        <v>NO</v>
      </c>
      <c r="AR248" s="177" t="s">
        <v>1056</v>
      </c>
      <c r="AS248" s="435"/>
      <c r="AT248" s="992"/>
    </row>
    <row r="249" spans="2:46" ht="47.25" customHeight="1" x14ac:dyDescent="0.25">
      <c r="B249" s="15">
        <v>243</v>
      </c>
      <c r="C249" s="439"/>
      <c r="D249" s="439" t="str">
        <f t="shared" si="38"/>
        <v>2014</v>
      </c>
      <c r="E249" s="350" t="s">
        <v>1345</v>
      </c>
      <c r="F249" s="173" t="s">
        <v>1346</v>
      </c>
      <c r="G249" s="143">
        <v>830120684</v>
      </c>
      <c r="H249" s="1031" t="s">
        <v>1347</v>
      </c>
      <c r="I249" s="241">
        <v>1659960</v>
      </c>
      <c r="J249" s="876" t="s">
        <v>2631</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2" t="str">
        <f>IFERROR(VLOOKUP(E249,'liquidaciones '!$B$2:$C$1048576,2,0),"NO")</f>
        <v>LIQUIDADO</v>
      </c>
      <c r="AO249" s="972">
        <f>IFERROR(VLOOKUP(E249,'liquidaciones '!$B$2:$I$1048576,8,0),"")</f>
        <v>0</v>
      </c>
      <c r="AP249" s="339">
        <v>42368</v>
      </c>
      <c r="AQ249" s="177" t="str">
        <f t="shared" ca="1" si="49"/>
        <v>NO</v>
      </c>
      <c r="AR249" s="177" t="s">
        <v>1573</v>
      </c>
      <c r="AS249" s="435"/>
      <c r="AT249" s="992"/>
    </row>
    <row r="250" spans="2:46" ht="47.25" customHeight="1" x14ac:dyDescent="0.25">
      <c r="B250" s="15">
        <v>244</v>
      </c>
      <c r="C250" s="439"/>
      <c r="D250" s="439" t="str">
        <f t="shared" si="38"/>
        <v>2014</v>
      </c>
      <c r="E250" s="350" t="s">
        <v>1348</v>
      </c>
      <c r="F250" s="173" t="s">
        <v>1349</v>
      </c>
      <c r="G250" s="143">
        <v>79403174</v>
      </c>
      <c r="H250" s="1031" t="s">
        <v>1350</v>
      </c>
      <c r="I250" s="241">
        <v>20188000</v>
      </c>
      <c r="J250" s="876" t="s">
        <v>2620</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2" t="str">
        <f>IFERROR(VLOOKUP(E250,'liquidaciones '!$B$2:$C$1048576,2,0),"NO")</f>
        <v>LIQUIDADO</v>
      </c>
      <c r="AO250" s="972">
        <f>IFERROR(VLOOKUP(E250,'liquidaciones '!$B$2:$I$1048576,8,0),"")</f>
        <v>0</v>
      </c>
      <c r="AP250" s="339">
        <v>42251</v>
      </c>
      <c r="AQ250" s="177" t="str">
        <f t="shared" ca="1" si="49"/>
        <v>NO</v>
      </c>
      <c r="AR250" s="177" t="s">
        <v>1473</v>
      </c>
      <c r="AS250" s="435"/>
      <c r="AT250" s="992"/>
    </row>
    <row r="251" spans="2:46" ht="47.25" customHeight="1" x14ac:dyDescent="0.25">
      <c r="B251" s="15">
        <v>245</v>
      </c>
      <c r="C251" s="439"/>
      <c r="D251" s="439" t="str">
        <f t="shared" si="38"/>
        <v>2014</v>
      </c>
      <c r="E251" s="351" t="s">
        <v>1352</v>
      </c>
      <c r="F251" s="281" t="s">
        <v>1353</v>
      </c>
      <c r="G251" s="305">
        <v>830025104</v>
      </c>
      <c r="H251" s="1031" t="s">
        <v>1575</v>
      </c>
      <c r="I251" s="289">
        <v>59383678</v>
      </c>
      <c r="J251" s="876" t="s">
        <v>2627</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2" t="str">
        <f>IFERROR(VLOOKUP(E251,'liquidaciones '!$B$2:$C$1048576,2,0),"NO")</f>
        <v>LIQUIDADO</v>
      </c>
      <c r="AO251" s="972">
        <f>IFERROR(VLOOKUP(E251,'liquidaciones '!$B$2:$I$1048576,8,0),"")</f>
        <v>0</v>
      </c>
      <c r="AP251" s="339"/>
      <c r="AQ251" s="177" t="str">
        <f t="shared" ca="1" si="49"/>
        <v>NO</v>
      </c>
      <c r="AR251" s="177" t="s">
        <v>1995</v>
      </c>
      <c r="AS251" s="435"/>
      <c r="AT251" s="992"/>
    </row>
    <row r="252" spans="2:46" ht="47.25" customHeight="1" x14ac:dyDescent="0.25">
      <c r="B252" s="15">
        <v>246</v>
      </c>
      <c r="C252" s="439"/>
      <c r="D252" s="439" t="str">
        <f t="shared" si="38"/>
        <v>2014</v>
      </c>
      <c r="E252" s="352" t="s">
        <v>1355</v>
      </c>
      <c r="F252" s="890" t="s">
        <v>27</v>
      </c>
      <c r="G252" s="892">
        <v>860009759</v>
      </c>
      <c r="H252" s="884" t="s">
        <v>1356</v>
      </c>
      <c r="I252" s="294">
        <v>764100</v>
      </c>
      <c r="J252" s="134" t="s">
        <v>1088</v>
      </c>
      <c r="K252" s="295">
        <v>2014</v>
      </c>
      <c r="L252" s="548" t="s">
        <v>1088</v>
      </c>
      <c r="M252" s="891">
        <v>41970</v>
      </c>
      <c r="N252" s="891">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2171</v>
      </c>
      <c r="AJ252" s="305" t="s">
        <v>954</v>
      </c>
      <c r="AK252" s="181" t="str">
        <f t="shared" ca="1" si="46"/>
        <v>TERMINO</v>
      </c>
      <c r="AL252" s="310" t="s">
        <v>582</v>
      </c>
      <c r="AM252" s="176" t="s">
        <v>390</v>
      </c>
      <c r="AN252" s="872" t="str">
        <f>IFERROR(VLOOKUP(E252,'liquidaciones '!$B$2:$C$1048576,2,0),"NO")</f>
        <v>LIQUIDADO</v>
      </c>
      <c r="AO252" s="972">
        <f>IFERROR(VLOOKUP(E252,'liquidaciones '!$B$2:$I$1048576,8,0),"")</f>
        <v>0</v>
      </c>
      <c r="AP252" s="339"/>
      <c r="AQ252" s="177" t="str">
        <f t="shared" ca="1" si="49"/>
        <v>NO</v>
      </c>
      <c r="AR252" s="177" t="s">
        <v>1511</v>
      </c>
      <c r="AS252" s="435"/>
      <c r="AT252" s="992"/>
    </row>
    <row r="253" spans="2:46" ht="47.25" customHeight="1" x14ac:dyDescent="0.25">
      <c r="B253" s="15">
        <v>247</v>
      </c>
      <c r="C253" s="439"/>
      <c r="D253" s="439" t="str">
        <f t="shared" si="38"/>
        <v>2014</v>
      </c>
      <c r="E253" s="352" t="s">
        <v>1357</v>
      </c>
      <c r="F253" s="890" t="s">
        <v>1358</v>
      </c>
      <c r="G253" s="892">
        <v>805007625</v>
      </c>
      <c r="H253" s="884" t="s">
        <v>1359</v>
      </c>
      <c r="I253" s="294">
        <v>108570688</v>
      </c>
      <c r="J253" s="134" t="s">
        <v>1088</v>
      </c>
      <c r="K253" s="295">
        <v>2014</v>
      </c>
      <c r="L253" s="548" t="s">
        <v>1088</v>
      </c>
      <c r="M253" s="891">
        <v>41935</v>
      </c>
      <c r="N253" s="891">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3">
        <f t="shared" si="40"/>
        <v>142056991</v>
      </c>
      <c r="X253" s="309"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2" t="str">
        <f>IFERROR(VLOOKUP(E253,'liquidaciones '!$B$2:$C$1048576,2,0),"NO")</f>
        <v>LIQUIDADO</v>
      </c>
      <c r="AO253" s="972">
        <f>IFERROR(VLOOKUP(E253,'liquidaciones '!$B$2:$I$1048576,8,0),"")</f>
        <v>0</v>
      </c>
      <c r="AP253" s="339"/>
      <c r="AQ253" s="177" t="str">
        <f t="shared" ca="1" si="49"/>
        <v>NO</v>
      </c>
      <c r="AR253" s="177" t="s">
        <v>1995</v>
      </c>
      <c r="AS253" s="435"/>
      <c r="AT253" s="992"/>
    </row>
    <row r="254" spans="2:46" ht="47.25" customHeight="1" x14ac:dyDescent="0.25">
      <c r="B254" s="15">
        <v>248</v>
      </c>
      <c r="C254" s="439"/>
      <c r="D254" s="439" t="str">
        <f t="shared" si="38"/>
        <v>2014</v>
      </c>
      <c r="E254" s="352" t="s">
        <v>1360</v>
      </c>
      <c r="F254" s="307" t="s">
        <v>1361</v>
      </c>
      <c r="G254" s="892">
        <v>860353110</v>
      </c>
      <c r="H254" s="884" t="s">
        <v>1362</v>
      </c>
      <c r="I254" s="294">
        <v>27235640</v>
      </c>
      <c r="J254" s="134" t="s">
        <v>1088</v>
      </c>
      <c r="K254" s="295">
        <v>2014</v>
      </c>
      <c r="L254" s="548" t="s">
        <v>1088</v>
      </c>
      <c r="M254" s="891">
        <v>41969</v>
      </c>
      <c r="N254" s="891">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3">
        <f t="shared" si="40"/>
        <v>9865800</v>
      </c>
      <c r="X254" s="309"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2" t="str">
        <f>IFERROR(VLOOKUP(E254,'liquidaciones '!$B$2:$C$1048576,2,0),"NO")</f>
        <v>LIQUIDADO</v>
      </c>
      <c r="AO254" s="972">
        <f>IFERROR(VLOOKUP(E254,'liquidaciones '!$B$2:$I$1048576,8,0),"")</f>
        <v>0</v>
      </c>
      <c r="AP254" s="339"/>
      <c r="AQ254" s="177" t="str">
        <f t="shared" ca="1" si="49"/>
        <v>NO</v>
      </c>
      <c r="AR254" s="177" t="s">
        <v>1995</v>
      </c>
      <c r="AS254" s="435"/>
      <c r="AT254" s="992"/>
    </row>
    <row r="255" spans="2:46" ht="47.25" customHeight="1" x14ac:dyDescent="0.25">
      <c r="B255" s="15">
        <v>249</v>
      </c>
      <c r="C255" s="439"/>
      <c r="D255" s="439" t="str">
        <f t="shared" si="38"/>
        <v>2014</v>
      </c>
      <c r="E255" s="892" t="s">
        <v>1367</v>
      </c>
      <c r="F255" s="890" t="s">
        <v>1368</v>
      </c>
      <c r="G255" s="892">
        <v>79797614</v>
      </c>
      <c r="H255" s="884" t="s">
        <v>1369</v>
      </c>
      <c r="I255" s="294">
        <v>39999999</v>
      </c>
      <c r="J255" s="876"/>
      <c r="K255" s="295">
        <v>2014</v>
      </c>
      <c r="L255" s="548" t="s">
        <v>1088</v>
      </c>
      <c r="M255" s="891">
        <v>41957</v>
      </c>
      <c r="N255" s="891">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2" t="str">
        <f>IFERROR(VLOOKUP(E255,'liquidaciones '!$B$2:$C$1048576,2,0),"NO")</f>
        <v>EN TRÁMITE</v>
      </c>
      <c r="AO255" s="972">
        <f>IFERROR(VLOOKUP(E255,'liquidaciones '!$B$2:$I$1048576,8,0),"")</f>
        <v>0</v>
      </c>
      <c r="AP255" s="339"/>
      <c r="AQ255" s="177" t="str">
        <f t="shared" ref="AQ255:AQ286" ca="1" si="51">IF((TODAY()-T255&lt;900),"SI","NO")</f>
        <v>SI</v>
      </c>
      <c r="AR255" s="177" t="s">
        <v>2394</v>
      </c>
      <c r="AS255" s="435"/>
      <c r="AT255" s="992"/>
    </row>
    <row r="256" spans="2:46" ht="47.25" customHeight="1" x14ac:dyDescent="0.25">
      <c r="B256" s="15">
        <v>250</v>
      </c>
      <c r="C256" s="439"/>
      <c r="D256" s="439" t="str">
        <f t="shared" si="38"/>
        <v>2014</v>
      </c>
      <c r="E256" s="352" t="s">
        <v>1365</v>
      </c>
      <c r="F256" s="890" t="s">
        <v>1537</v>
      </c>
      <c r="G256" s="892">
        <v>80100229</v>
      </c>
      <c r="H256" s="884" t="s">
        <v>1366</v>
      </c>
      <c r="I256" s="294">
        <v>17664500</v>
      </c>
      <c r="J256" s="134" t="s">
        <v>1088</v>
      </c>
      <c r="K256" s="295">
        <v>2014</v>
      </c>
      <c r="L256" s="548" t="s">
        <v>1088</v>
      </c>
      <c r="M256" s="891">
        <v>41956</v>
      </c>
      <c r="N256" s="891">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2194</v>
      </c>
      <c r="AG256" s="173" t="s">
        <v>1178</v>
      </c>
      <c r="AH256" s="281" t="s">
        <v>559</v>
      </c>
      <c r="AI256" s="305" t="s">
        <v>2193</v>
      </c>
      <c r="AJ256" s="305" t="s">
        <v>954</v>
      </c>
      <c r="AK256" s="181" t="str">
        <f t="shared" ca="1" si="46"/>
        <v>TERMINO</v>
      </c>
      <c r="AL256" s="311" t="s">
        <v>582</v>
      </c>
      <c r="AM256" s="176" t="s">
        <v>391</v>
      </c>
      <c r="AN256" s="872" t="str">
        <f>IFERROR(VLOOKUP(E256,'liquidaciones '!$B$2:$C$1048576,2,0),"NO")</f>
        <v>LIQUIDADO</v>
      </c>
      <c r="AO256" s="972">
        <f>IFERROR(VLOOKUP(E256,'liquidaciones '!$B$2:$I$1048576,8,0),"")</f>
        <v>0</v>
      </c>
      <c r="AP256" s="339">
        <v>42265</v>
      </c>
      <c r="AQ256" s="177" t="str">
        <f t="shared" ca="1" si="51"/>
        <v>NO</v>
      </c>
      <c r="AR256" s="177" t="s">
        <v>981</v>
      </c>
      <c r="AS256" s="435"/>
      <c r="AT256" s="992"/>
    </row>
    <row r="257" spans="2:46" ht="47.25" customHeight="1" x14ac:dyDescent="0.25">
      <c r="B257" s="15">
        <v>251</v>
      </c>
      <c r="C257" s="439"/>
      <c r="D257" s="439" t="str">
        <f t="shared" si="38"/>
        <v>2014</v>
      </c>
      <c r="E257" s="352" t="s">
        <v>1420</v>
      </c>
      <c r="F257" s="890" t="s">
        <v>1421</v>
      </c>
      <c r="G257" s="892">
        <v>830087030</v>
      </c>
      <c r="H257" s="884" t="s">
        <v>1422</v>
      </c>
      <c r="I257" s="210">
        <v>4750000</v>
      </c>
      <c r="J257" s="134" t="s">
        <v>1088</v>
      </c>
      <c r="K257" s="295">
        <v>2014</v>
      </c>
      <c r="L257" s="548" t="s">
        <v>1088</v>
      </c>
      <c r="M257" s="891">
        <v>41968</v>
      </c>
      <c r="N257" s="891">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2" t="str">
        <f>IFERROR(VLOOKUP(E257,'liquidaciones '!$B$2:$C$1048576,2,0),"NO")</f>
        <v>LIQUIDADO</v>
      </c>
      <c r="AO257" s="972">
        <f>IFERROR(VLOOKUP(E257,'liquidaciones '!$B$2:$I$1048576,8,0),"")</f>
        <v>0</v>
      </c>
      <c r="AP257" s="339"/>
      <c r="AQ257" s="177" t="str">
        <f t="shared" ca="1" si="51"/>
        <v>NO</v>
      </c>
      <c r="AR257" s="177" t="s">
        <v>1573</v>
      </c>
      <c r="AS257" s="435"/>
      <c r="AT257" s="992"/>
    </row>
    <row r="258" spans="2:46" ht="47.25" customHeight="1" x14ac:dyDescent="0.25">
      <c r="B258" s="15">
        <v>252</v>
      </c>
      <c r="C258" s="439"/>
      <c r="D258" s="439" t="str">
        <f t="shared" si="38"/>
        <v>2014</v>
      </c>
      <c r="E258" s="352" t="s">
        <v>1425</v>
      </c>
      <c r="F258" s="890" t="s">
        <v>428</v>
      </c>
      <c r="G258" s="892">
        <v>830050919</v>
      </c>
      <c r="H258" s="884" t="s">
        <v>1426</v>
      </c>
      <c r="I258" s="210">
        <v>506601000</v>
      </c>
      <c r="J258" s="876" t="s">
        <v>2458</v>
      </c>
      <c r="K258" s="295">
        <v>2014</v>
      </c>
      <c r="L258" s="548" t="s">
        <v>1088</v>
      </c>
      <c r="M258" s="891">
        <v>41963</v>
      </c>
      <c r="N258" s="891">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2" t="str">
        <f>IFERROR(VLOOKUP(E258,'liquidaciones '!$B$2:$C$1048576,2,0),"NO")</f>
        <v>LIQUIDADO</v>
      </c>
      <c r="AO258" s="972">
        <f>IFERROR(VLOOKUP(E258,'liquidaciones '!$B$2:$I$1048576,8,0),"")</f>
        <v>0</v>
      </c>
      <c r="AP258" s="339"/>
      <c r="AQ258" s="177" t="str">
        <f t="shared" ca="1" si="51"/>
        <v>NO</v>
      </c>
      <c r="AR258" s="177" t="s">
        <v>2079</v>
      </c>
      <c r="AS258" s="435"/>
      <c r="AT258" s="992"/>
    </row>
    <row r="259" spans="2:46" ht="47.25" customHeight="1" x14ac:dyDescent="0.25">
      <c r="B259" s="15">
        <v>253</v>
      </c>
      <c r="C259" s="439"/>
      <c r="D259" s="439" t="str">
        <f t="shared" si="38"/>
        <v>2014</v>
      </c>
      <c r="E259" s="352" t="s">
        <v>1475</v>
      </c>
      <c r="F259" s="890" t="s">
        <v>64</v>
      </c>
      <c r="G259" s="892">
        <v>830143378</v>
      </c>
      <c r="H259" s="884" t="s">
        <v>1476</v>
      </c>
      <c r="I259" s="210">
        <v>401058400</v>
      </c>
      <c r="J259" s="134" t="s">
        <v>1088</v>
      </c>
      <c r="K259" s="295">
        <v>2014</v>
      </c>
      <c r="L259" s="548" t="s">
        <v>1088</v>
      </c>
      <c r="M259" s="891">
        <v>42031</v>
      </c>
      <c r="N259" s="891">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2" t="str">
        <f>IFERROR(VLOOKUP(E259,'liquidaciones '!$B$2:$C$1048576,2,0),"NO")</f>
        <v>LIQUIDADO</v>
      </c>
      <c r="AO259" s="972" t="str">
        <f>IFERROR(VLOOKUP(E259,'liquidaciones '!$B$2:$I$1048576,8,0),"")</f>
        <v>LEIDY RIVERA</v>
      </c>
      <c r="AP259" s="339"/>
      <c r="AQ259" s="177" t="str">
        <f t="shared" ca="1" si="51"/>
        <v>NO</v>
      </c>
      <c r="AR259" s="177" t="s">
        <v>2079</v>
      </c>
      <c r="AS259" s="435"/>
      <c r="AT259" s="992"/>
    </row>
    <row r="260" spans="2:46" ht="47.25" customHeight="1" x14ac:dyDescent="0.25">
      <c r="B260" s="15">
        <v>254</v>
      </c>
      <c r="C260" s="439"/>
      <c r="D260" s="439" t="str">
        <f t="shared" si="38"/>
        <v>2014</v>
      </c>
      <c r="E260" s="892" t="s">
        <v>1478</v>
      </c>
      <c r="F260" s="890" t="s">
        <v>3</v>
      </c>
      <c r="G260" s="133">
        <v>830095213</v>
      </c>
      <c r="H260" s="884" t="s">
        <v>402</v>
      </c>
      <c r="I260" s="210">
        <v>171253333</v>
      </c>
      <c r="J260" s="134" t="s">
        <v>1088</v>
      </c>
      <c r="K260" s="295">
        <v>2014</v>
      </c>
      <c r="L260" s="548" t="s">
        <v>1088</v>
      </c>
      <c r="M260" s="891">
        <v>41961</v>
      </c>
      <c r="N260" s="891">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2" t="str">
        <f>IFERROR(VLOOKUP(E260,'liquidaciones '!$B$2:$C$1048576,2,0),"NO")</f>
        <v>EN TRÁMITE</v>
      </c>
      <c r="AO260" s="972" t="str">
        <f>IFERROR(VLOOKUP(E260,'liquidaciones '!$B$2:$I$1048576,8,0),"")</f>
        <v>JULIETH ANGARITA</v>
      </c>
      <c r="AP260" s="339"/>
      <c r="AQ260" s="177" t="str">
        <f t="shared" ca="1" si="51"/>
        <v>NO</v>
      </c>
      <c r="AR260" s="177" t="s">
        <v>1574</v>
      </c>
      <c r="AS260" s="435"/>
      <c r="AT260" s="992"/>
    </row>
    <row r="261" spans="2:46" ht="47.25" customHeight="1" x14ac:dyDescent="0.25">
      <c r="B261" s="15">
        <v>255</v>
      </c>
      <c r="C261" s="439"/>
      <c r="D261" s="439" t="str">
        <f t="shared" si="38"/>
        <v>2014</v>
      </c>
      <c r="E261" s="352" t="s">
        <v>1486</v>
      </c>
      <c r="F261" s="890" t="s">
        <v>1599</v>
      </c>
      <c r="G261" s="133">
        <v>79106019</v>
      </c>
      <c r="H261" s="884" t="s">
        <v>1487</v>
      </c>
      <c r="I261" s="210">
        <v>12700000</v>
      </c>
      <c r="J261" s="134" t="s">
        <v>1088</v>
      </c>
      <c r="K261" s="295">
        <v>2014</v>
      </c>
      <c r="L261" s="548" t="s">
        <v>1088</v>
      </c>
      <c r="M261" s="891">
        <v>41982</v>
      </c>
      <c r="N261" s="891">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2" t="str">
        <f>IFERROR(VLOOKUP(E261,'liquidaciones '!$B$2:$C$1048576,2,0),"NO")</f>
        <v>LIQUIDADO</v>
      </c>
      <c r="AO261" s="972">
        <f>IFERROR(VLOOKUP(E261,'liquidaciones '!$B$2:$I$1048576,8,0),"")</f>
        <v>0</v>
      </c>
      <c r="AP261" s="339">
        <v>42272</v>
      </c>
      <c r="AQ261" s="177" t="str">
        <f t="shared" ca="1" si="51"/>
        <v>NO</v>
      </c>
      <c r="AR261" s="177" t="s">
        <v>1056</v>
      </c>
      <c r="AS261" s="435"/>
      <c r="AT261" s="992"/>
    </row>
    <row r="262" spans="2:46" ht="47.25" customHeight="1" x14ac:dyDescent="0.25">
      <c r="B262" s="15">
        <v>256</v>
      </c>
      <c r="C262" s="439"/>
      <c r="D262" s="439" t="str">
        <f t="shared" si="38"/>
        <v>2014</v>
      </c>
      <c r="E262" s="352" t="s">
        <v>1482</v>
      </c>
      <c r="F262" s="890" t="s">
        <v>1483</v>
      </c>
      <c r="G262" s="892">
        <v>860007336</v>
      </c>
      <c r="H262" s="884" t="s">
        <v>1484</v>
      </c>
      <c r="I262" s="210">
        <v>39424000</v>
      </c>
      <c r="J262" s="134" t="s">
        <v>1088</v>
      </c>
      <c r="K262" s="295">
        <v>2014</v>
      </c>
      <c r="L262" s="548" t="s">
        <v>1088</v>
      </c>
      <c r="M262" s="891">
        <v>41982</v>
      </c>
      <c r="N262" s="891">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2" t="str">
        <f>IFERROR(VLOOKUP(E262,'liquidaciones '!$B$2:$C$1048576,2,0),"NO")</f>
        <v>LIQUIDADO</v>
      </c>
      <c r="AO262" s="972">
        <f>IFERROR(VLOOKUP(E262,'liquidaciones '!$B$2:$I$1048576,8,0),"")</f>
        <v>0</v>
      </c>
      <c r="AP262" s="339">
        <v>42278</v>
      </c>
      <c r="AQ262" s="177" t="str">
        <f t="shared" ca="1" si="51"/>
        <v>NO</v>
      </c>
      <c r="AR262" s="177" t="s">
        <v>1574</v>
      </c>
      <c r="AS262" s="435"/>
      <c r="AT262" s="992"/>
    </row>
    <row r="263" spans="2:46" ht="47.25" customHeight="1" x14ac:dyDescent="0.25">
      <c r="B263" s="15">
        <v>257</v>
      </c>
      <c r="C263" s="439"/>
      <c r="D263" s="439" t="str">
        <f t="shared" ref="D263:D326" si="53">K263&amp;C263</f>
        <v>2014</v>
      </c>
      <c r="E263" s="352" t="s">
        <v>1498</v>
      </c>
      <c r="F263" s="132" t="s">
        <v>418</v>
      </c>
      <c r="G263" s="133">
        <v>891501783</v>
      </c>
      <c r="H263" s="884" t="s">
        <v>1499</v>
      </c>
      <c r="I263" s="210">
        <v>187940000</v>
      </c>
      <c r="J263" s="134" t="s">
        <v>1088</v>
      </c>
      <c r="K263" s="295">
        <v>2014</v>
      </c>
      <c r="L263" s="548" t="s">
        <v>1088</v>
      </c>
      <c r="M263" s="891">
        <v>42023</v>
      </c>
      <c r="N263" s="891">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2" t="str">
        <f>IFERROR(VLOOKUP(E263,'liquidaciones '!$B$2:$C$1048576,2,0),"NO")</f>
        <v>LIQUIDADO</v>
      </c>
      <c r="AO263" s="972">
        <f>IFERROR(VLOOKUP(E263,'liquidaciones '!$B$2:$I$1048576,8,0),"")</f>
        <v>0</v>
      </c>
      <c r="AP263" s="339"/>
      <c r="AQ263" s="177" t="str">
        <f t="shared" ca="1" si="51"/>
        <v>NO</v>
      </c>
      <c r="AR263" s="177" t="s">
        <v>1995</v>
      </c>
      <c r="AS263" s="435"/>
      <c r="AT263" s="992"/>
    </row>
    <row r="264" spans="2:46" ht="47.25" customHeight="1" x14ac:dyDescent="0.25">
      <c r="B264" s="15">
        <v>258</v>
      </c>
      <c r="C264" s="439"/>
      <c r="D264" s="439" t="str">
        <f t="shared" si="53"/>
        <v>2014</v>
      </c>
      <c r="E264" s="892" t="s">
        <v>1492</v>
      </c>
      <c r="F264" s="890" t="s">
        <v>1493</v>
      </c>
      <c r="G264" s="892">
        <v>800085526</v>
      </c>
      <c r="H264" s="884" t="s">
        <v>1494</v>
      </c>
      <c r="I264" s="210">
        <v>300000000</v>
      </c>
      <c r="J264" s="134" t="s">
        <v>1088</v>
      </c>
      <c r="K264" s="295">
        <v>2014</v>
      </c>
      <c r="L264" s="548" t="s">
        <v>1088</v>
      </c>
      <c r="M264" s="891">
        <v>41989</v>
      </c>
      <c r="N264" s="891">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2" t="str">
        <f>IFERROR(VLOOKUP(E264,'liquidaciones '!$B$2:$C$1048576,2,0),"NO")</f>
        <v>LIQUIDADO</v>
      </c>
      <c r="AO264" s="972">
        <f>IFERROR(VLOOKUP(E264,'liquidaciones '!$B$2:$I$1048576,8,0),"")</f>
        <v>0</v>
      </c>
      <c r="AP264" s="339"/>
      <c r="AQ264" s="177" t="str">
        <f t="shared" ca="1" si="51"/>
        <v>NO</v>
      </c>
      <c r="AR264" s="177" t="s">
        <v>2079</v>
      </c>
      <c r="AS264" s="435"/>
      <c r="AT264" s="992"/>
    </row>
    <row r="265" spans="2:46" ht="67.5" x14ac:dyDescent="0.25">
      <c r="B265" s="15">
        <v>259</v>
      </c>
      <c r="C265" s="439"/>
      <c r="D265" s="439" t="str">
        <f t="shared" si="53"/>
        <v>2014</v>
      </c>
      <c r="E265" s="892" t="s">
        <v>1495</v>
      </c>
      <c r="F265" s="890" t="s">
        <v>1421</v>
      </c>
      <c r="G265" s="892">
        <v>830087030</v>
      </c>
      <c r="H265" s="884" t="s">
        <v>1496</v>
      </c>
      <c r="I265" s="210">
        <v>29997466</v>
      </c>
      <c r="J265" s="134" t="s">
        <v>1088</v>
      </c>
      <c r="K265" s="295">
        <v>2014</v>
      </c>
      <c r="L265" s="548" t="s">
        <v>1088</v>
      </c>
      <c r="M265" s="891">
        <v>41988</v>
      </c>
      <c r="N265" s="891">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2" t="str">
        <f>IFERROR(VLOOKUP(E265,'liquidaciones '!$B$2:$C$1048576,2,0),"NO")</f>
        <v>EN TRÁMITE</v>
      </c>
      <c r="AO265" s="972">
        <f>IFERROR(VLOOKUP(E265,'liquidaciones '!$B$2:$I$1048576,8,0),"")</f>
        <v>0</v>
      </c>
      <c r="AP265" s="339"/>
      <c r="AQ265" s="177" t="str">
        <f t="shared" ca="1" si="51"/>
        <v>NO</v>
      </c>
      <c r="AR265" s="177" t="s">
        <v>1511</v>
      </c>
      <c r="AS265" s="435"/>
      <c r="AT265" s="992"/>
    </row>
    <row r="266" spans="2:46" ht="47.25" customHeight="1" x14ac:dyDescent="0.25">
      <c r="B266" s="15">
        <v>260</v>
      </c>
      <c r="C266" s="439"/>
      <c r="D266" s="439" t="str">
        <f t="shared" si="53"/>
        <v>2014</v>
      </c>
      <c r="E266" s="892" t="s">
        <v>1502</v>
      </c>
      <c r="F266" s="890" t="s">
        <v>1503</v>
      </c>
      <c r="G266" s="892">
        <v>830117370</v>
      </c>
      <c r="H266" s="884" t="s">
        <v>1504</v>
      </c>
      <c r="I266" s="210">
        <v>1624000</v>
      </c>
      <c r="J266" s="134" t="s">
        <v>1088</v>
      </c>
      <c r="K266" s="295">
        <v>2014</v>
      </c>
      <c r="L266" s="548" t="s">
        <v>1088</v>
      </c>
      <c r="M266" s="891">
        <v>42037</v>
      </c>
      <c r="N266" s="891">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2" t="str">
        <f>IFERROR(VLOOKUP(E266,'liquidaciones '!$B$2:$C$1048576,2,0),"NO")</f>
        <v>EN TRÁMITE</v>
      </c>
      <c r="AO266" s="972">
        <f>IFERROR(VLOOKUP(E266,'liquidaciones '!$B$2:$I$1048576,8,0),"")</f>
        <v>0</v>
      </c>
      <c r="AP266" s="339"/>
      <c r="AQ266" s="177" t="str">
        <f t="shared" ca="1" si="51"/>
        <v>NO</v>
      </c>
      <c r="AR266" s="177" t="s">
        <v>1511</v>
      </c>
      <c r="AS266" s="435"/>
      <c r="AT266" s="992"/>
    </row>
    <row r="267" spans="2:46" ht="47.25" customHeight="1" x14ac:dyDescent="0.25">
      <c r="B267" s="15">
        <v>261</v>
      </c>
      <c r="C267" s="439"/>
      <c r="D267" s="439" t="str">
        <f t="shared" si="53"/>
        <v>2014</v>
      </c>
      <c r="E267" s="352" t="s">
        <v>1517</v>
      </c>
      <c r="F267" s="890" t="s">
        <v>1518</v>
      </c>
      <c r="G267" s="892">
        <v>900335488</v>
      </c>
      <c r="H267" s="884" t="s">
        <v>1519</v>
      </c>
      <c r="I267" s="210">
        <v>64621280</v>
      </c>
      <c r="J267" s="134" t="s">
        <v>1088</v>
      </c>
      <c r="K267" s="295">
        <v>2014</v>
      </c>
      <c r="L267" s="548" t="s">
        <v>1088</v>
      </c>
      <c r="M267" s="891">
        <v>42045</v>
      </c>
      <c r="N267" s="891">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2166</v>
      </c>
      <c r="AJ267" s="305" t="s">
        <v>954</v>
      </c>
      <c r="AK267" s="181" t="str">
        <f t="shared" ca="1" si="60"/>
        <v>TERMINO</v>
      </c>
      <c r="AL267" s="310" t="s">
        <v>574</v>
      </c>
      <c r="AM267" s="176" t="s">
        <v>390</v>
      </c>
      <c r="AN267" s="872" t="str">
        <f>IFERROR(VLOOKUP(E267,'liquidaciones '!$B$2:$C$1048576,2,0),"NO")</f>
        <v>LIQUIDADO</v>
      </c>
      <c r="AO267" s="972">
        <f>IFERROR(VLOOKUP(E267,'liquidaciones '!$B$2:$I$1048576,8,0),"")</f>
        <v>0</v>
      </c>
      <c r="AP267" s="339"/>
      <c r="AQ267" s="177" t="str">
        <f t="shared" ca="1" si="51"/>
        <v>NO</v>
      </c>
      <c r="AR267" s="177" t="s">
        <v>2394</v>
      </c>
      <c r="AS267" s="435"/>
      <c r="AT267" s="992"/>
    </row>
    <row r="268" spans="2:46" ht="47.25" customHeight="1" x14ac:dyDescent="0.25">
      <c r="B268" s="15">
        <v>262</v>
      </c>
      <c r="C268" s="439"/>
      <c r="D268" s="439" t="str">
        <f t="shared" si="53"/>
        <v>2014</v>
      </c>
      <c r="E268" s="892" t="s">
        <v>1521</v>
      </c>
      <c r="F268" s="890" t="s">
        <v>1522</v>
      </c>
      <c r="G268" s="892">
        <v>899999035</v>
      </c>
      <c r="H268" s="884" t="s">
        <v>1523</v>
      </c>
      <c r="I268" s="210">
        <v>300000000</v>
      </c>
      <c r="J268" s="134" t="s">
        <v>1088</v>
      </c>
      <c r="K268" s="295">
        <v>2014</v>
      </c>
      <c r="L268" s="997" t="s">
        <v>3799</v>
      </c>
      <c r="M268" s="891">
        <v>42002</v>
      </c>
      <c r="N268" s="891">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3" t="s">
        <v>1524</v>
      </c>
      <c r="Y268" s="42">
        <f t="shared" si="56"/>
        <v>0.5</v>
      </c>
      <c r="Z268" s="42">
        <f t="shared" ca="1" si="57"/>
        <v>0.75629791894852139</v>
      </c>
      <c r="AA268" s="43">
        <f t="shared" ca="1" si="58"/>
        <v>0.25629791894852139</v>
      </c>
      <c r="AB268" s="202">
        <f t="shared" ca="1" si="59"/>
        <v>445</v>
      </c>
      <c r="AC268" s="44" t="str">
        <f t="shared" si="50"/>
        <v>NO</v>
      </c>
      <c r="AD268" s="44"/>
      <c r="AE268" s="173" t="s">
        <v>1257</v>
      </c>
      <c r="AF268" s="281" t="s">
        <v>1525</v>
      </c>
      <c r="AG268" s="173" t="s">
        <v>1436</v>
      </c>
      <c r="AH268" s="281" t="s">
        <v>560</v>
      </c>
      <c r="AI268" s="305"/>
      <c r="AJ268" s="305" t="s">
        <v>954</v>
      </c>
      <c r="AK268" s="181" t="str">
        <f t="shared" ca="1" si="60"/>
        <v>EN EJECUCIÓN</v>
      </c>
      <c r="AL268" s="310" t="s">
        <v>582</v>
      </c>
      <c r="AM268" s="176" t="s">
        <v>390</v>
      </c>
      <c r="AN268" s="872" t="str">
        <f>IFERROR(VLOOKUP(E268,'liquidaciones '!$B$2:$C$1048576,2,0),"NO")</f>
        <v>NO</v>
      </c>
      <c r="AO268" s="972" t="str">
        <f>IFERROR(VLOOKUP(E268,'liquidaciones '!$B$2:$I$1048576,8,0),"")</f>
        <v/>
      </c>
      <c r="AP268" s="339"/>
      <c r="AQ268" s="177" t="str">
        <f t="shared" ca="1" si="51"/>
        <v>SI</v>
      </c>
      <c r="AR268" s="177" t="s">
        <v>4278</v>
      </c>
      <c r="AS268" s="435"/>
      <c r="AT268" s="995" t="s">
        <v>3968</v>
      </c>
    </row>
    <row r="269" spans="2:46" ht="47.25" customHeight="1" x14ac:dyDescent="0.25">
      <c r="B269" s="15">
        <v>263</v>
      </c>
      <c r="C269" s="439"/>
      <c r="D269" s="439" t="str">
        <f t="shared" si="53"/>
        <v>2014</v>
      </c>
      <c r="E269" s="352" t="s">
        <v>1526</v>
      </c>
      <c r="F269" s="973" t="s">
        <v>1361</v>
      </c>
      <c r="G269" s="892">
        <v>860353110</v>
      </c>
      <c r="H269" s="884" t="s">
        <v>1527</v>
      </c>
      <c r="I269" s="210">
        <v>137450000</v>
      </c>
      <c r="J269" s="134" t="s">
        <v>2258</v>
      </c>
      <c r="K269" s="295">
        <v>2014</v>
      </c>
      <c r="L269" s="548" t="s">
        <v>1088</v>
      </c>
      <c r="M269" s="891">
        <v>42018</v>
      </c>
      <c r="N269" s="891">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2" t="str">
        <f>IFERROR(VLOOKUP(E269,'liquidaciones '!$B$2:$C$1048576,2,0),"NO")</f>
        <v>LIQUIDADO</v>
      </c>
      <c r="AO269" s="972">
        <f>IFERROR(VLOOKUP(E269,'liquidaciones '!$B$2:$I$1048576,8,0),"")</f>
        <v>0</v>
      </c>
      <c r="AP269" s="339"/>
      <c r="AQ269" s="177" t="str">
        <f t="shared" ca="1" si="51"/>
        <v>NO</v>
      </c>
      <c r="AR269" s="177" t="s">
        <v>1995</v>
      </c>
      <c r="AS269" s="435"/>
      <c r="AT269" s="992"/>
    </row>
    <row r="270" spans="2:46" ht="47.25" customHeight="1" x14ac:dyDescent="0.25">
      <c r="B270" s="15">
        <v>264</v>
      </c>
      <c r="C270" s="439"/>
      <c r="D270" s="439" t="str">
        <f t="shared" si="53"/>
        <v>2014</v>
      </c>
      <c r="E270" s="352" t="s">
        <v>1530</v>
      </c>
      <c r="F270" s="890" t="s">
        <v>1531</v>
      </c>
      <c r="G270" s="892">
        <v>830075011</v>
      </c>
      <c r="H270" s="884" t="s">
        <v>1532</v>
      </c>
      <c r="I270" s="210">
        <v>249210000</v>
      </c>
      <c r="J270" s="134" t="s">
        <v>2278</v>
      </c>
      <c r="K270" s="295">
        <v>2014</v>
      </c>
      <c r="L270" s="548" t="s">
        <v>1088</v>
      </c>
      <c r="M270" s="891">
        <v>42017</v>
      </c>
      <c r="N270" s="891">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2171</v>
      </c>
      <c r="AJ270" s="305" t="s">
        <v>954</v>
      </c>
      <c r="AK270" s="181" t="str">
        <f t="shared" ca="1" si="60"/>
        <v>TERMINO</v>
      </c>
      <c r="AL270" s="310" t="s">
        <v>575</v>
      </c>
      <c r="AM270" s="176" t="s">
        <v>390</v>
      </c>
      <c r="AN270" s="872" t="str">
        <f>IFERROR(VLOOKUP(E270,'liquidaciones '!$B$2:$C$1048576,2,0),"NO")</f>
        <v>LIQUIDADO</v>
      </c>
      <c r="AO270" s="972">
        <f>IFERROR(VLOOKUP(E270,'liquidaciones '!$B$2:$I$1048576,8,0),"")</f>
        <v>0</v>
      </c>
      <c r="AP270" s="339"/>
      <c r="AQ270" s="177" t="str">
        <f t="shared" ca="1" si="51"/>
        <v>NO</v>
      </c>
      <c r="AR270" s="177" t="s">
        <v>2079</v>
      </c>
      <c r="AS270" s="435"/>
      <c r="AT270" s="992"/>
    </row>
    <row r="271" spans="2:46" ht="47.25" customHeight="1" x14ac:dyDescent="0.25">
      <c r="B271" s="15">
        <v>265</v>
      </c>
      <c r="C271" s="439">
        <v>135</v>
      </c>
      <c r="D271" s="439" t="str">
        <f t="shared" si="53"/>
        <v>2015135</v>
      </c>
      <c r="E271" s="939" t="s">
        <v>1538</v>
      </c>
      <c r="F271" s="890" t="s">
        <v>2025</v>
      </c>
      <c r="G271" s="892">
        <v>19335623</v>
      </c>
      <c r="H271" s="884" t="s">
        <v>1003</v>
      </c>
      <c r="I271" s="210">
        <v>84000000</v>
      </c>
      <c r="J271" s="728" t="s">
        <v>1538</v>
      </c>
      <c r="K271" s="295">
        <v>2015</v>
      </c>
      <c r="L271" s="548">
        <v>42027</v>
      </c>
      <c r="M271" s="891">
        <v>42031</v>
      </c>
      <c r="N271" s="891">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2173</v>
      </c>
      <c r="AG271" s="173" t="s">
        <v>1178</v>
      </c>
      <c r="AH271" s="281" t="s">
        <v>559</v>
      </c>
      <c r="AI271" s="305"/>
      <c r="AJ271" s="305" t="s">
        <v>954</v>
      </c>
      <c r="AK271" s="181" t="str">
        <f t="shared" ca="1" si="60"/>
        <v>TERMINO</v>
      </c>
      <c r="AL271" s="310" t="s">
        <v>582</v>
      </c>
      <c r="AM271" s="176" t="s">
        <v>391</v>
      </c>
      <c r="AN271" s="872" t="str">
        <f>IFERROR(VLOOKUP(E271,'liquidaciones '!$B$2:$C$1048576,2,0),"NO")</f>
        <v>LIQUIDADO</v>
      </c>
      <c r="AO271" s="972">
        <f>IFERROR(VLOOKUP(E271,'liquidaciones '!$B$2:$I$1048576,8,0),"")</f>
        <v>0</v>
      </c>
      <c r="AP271" s="339"/>
      <c r="AQ271" s="177" t="str">
        <f t="shared" ca="1" si="51"/>
        <v>NO</v>
      </c>
      <c r="AR271" s="177" t="s">
        <v>981</v>
      </c>
      <c r="AS271" s="435"/>
      <c r="AT271" s="992"/>
    </row>
    <row r="272" spans="2:46" ht="47.25" customHeight="1" x14ac:dyDescent="0.25">
      <c r="B272" s="41">
        <v>266</v>
      </c>
      <c r="C272" s="439"/>
      <c r="D272" s="439" t="str">
        <f t="shared" si="53"/>
        <v>2014</v>
      </c>
      <c r="E272" s="352" t="s">
        <v>1539</v>
      </c>
      <c r="F272" s="890" t="s">
        <v>1540</v>
      </c>
      <c r="G272" s="892">
        <v>860012336</v>
      </c>
      <c r="H272" s="884" t="s">
        <v>1541</v>
      </c>
      <c r="I272" s="210">
        <v>4961088</v>
      </c>
      <c r="J272" s="702" t="s">
        <v>2089</v>
      </c>
      <c r="K272" s="295">
        <v>2014</v>
      </c>
      <c r="L272" s="548">
        <v>41971</v>
      </c>
      <c r="M272" s="891">
        <v>42178</v>
      </c>
      <c r="N272" s="891">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2" t="str">
        <f>IFERROR(VLOOKUP(E272,'liquidaciones '!$B$2:$C$1048576,2,0),"NO")</f>
        <v>LIQUIDADO</v>
      </c>
      <c r="AO272" s="972">
        <f>IFERROR(VLOOKUP(E272,'liquidaciones '!$B$2:$I$1048576,8,0),"")</f>
        <v>0</v>
      </c>
      <c r="AP272" s="339"/>
      <c r="AQ272" s="177" t="str">
        <f t="shared" ca="1" si="51"/>
        <v>NO</v>
      </c>
      <c r="AR272" s="177" t="s">
        <v>2079</v>
      </c>
      <c r="AS272" s="435"/>
      <c r="AT272" s="992"/>
    </row>
    <row r="273" spans="2:46" ht="47.25" customHeight="1" x14ac:dyDescent="0.25">
      <c r="B273" s="15">
        <v>267</v>
      </c>
      <c r="C273" s="439"/>
      <c r="D273" s="439" t="str">
        <f t="shared" si="53"/>
        <v>2014</v>
      </c>
      <c r="E273" s="352" t="s">
        <v>3120</v>
      </c>
      <c r="F273" s="890" t="s">
        <v>1543</v>
      </c>
      <c r="G273" s="892">
        <v>900801132</v>
      </c>
      <c r="H273" s="884" t="s">
        <v>1544</v>
      </c>
      <c r="I273" s="210">
        <v>10075000</v>
      </c>
      <c r="J273" s="876" t="s">
        <v>2630</v>
      </c>
      <c r="K273" s="295">
        <v>2014</v>
      </c>
      <c r="L273" s="548" t="s">
        <v>1088</v>
      </c>
      <c r="M273" s="891">
        <v>42020</v>
      </c>
      <c r="N273" s="891">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2" t="str">
        <f>IFERROR(VLOOKUP(E273,'liquidaciones '!$B$2:$C$1048576,2,0),"NO")</f>
        <v>LIQUIDADO</v>
      </c>
      <c r="AO273" s="972">
        <f>IFERROR(VLOOKUP(E273,'liquidaciones '!$B$2:$I$1048576,8,0),"")</f>
        <v>0</v>
      </c>
      <c r="AP273" s="339"/>
      <c r="AQ273" s="177" t="str">
        <f t="shared" ca="1" si="51"/>
        <v>NO</v>
      </c>
      <c r="AR273" s="177" t="s">
        <v>1511</v>
      </c>
      <c r="AS273" s="435"/>
      <c r="AT273" s="992"/>
    </row>
    <row r="274" spans="2:46" ht="47.25" customHeight="1" x14ac:dyDescent="0.25">
      <c r="B274" s="15">
        <v>268</v>
      </c>
      <c r="C274" s="439">
        <v>129</v>
      </c>
      <c r="D274" s="439" t="str">
        <f t="shared" si="53"/>
        <v>2015129</v>
      </c>
      <c r="E274" s="892" t="s">
        <v>1545</v>
      </c>
      <c r="F274" s="890" t="s">
        <v>1035</v>
      </c>
      <c r="G274" s="892">
        <v>4098836</v>
      </c>
      <c r="H274" s="884" t="s">
        <v>1546</v>
      </c>
      <c r="I274" s="210">
        <v>46068000</v>
      </c>
      <c r="J274" s="876" t="s">
        <v>1770</v>
      </c>
      <c r="K274" s="295">
        <v>2015</v>
      </c>
      <c r="L274" s="548">
        <v>42033</v>
      </c>
      <c r="M274" s="891">
        <v>42037</v>
      </c>
      <c r="N274" s="891">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2174</v>
      </c>
      <c r="AG274" s="173" t="s">
        <v>1178</v>
      </c>
      <c r="AH274" s="281" t="s">
        <v>559</v>
      </c>
      <c r="AI274" s="305"/>
      <c r="AJ274" s="305" t="s">
        <v>954</v>
      </c>
      <c r="AK274" s="181" t="str">
        <f t="shared" ca="1" si="60"/>
        <v>TERMINO</v>
      </c>
      <c r="AL274" s="310" t="s">
        <v>582</v>
      </c>
      <c r="AM274" s="176" t="s">
        <v>391</v>
      </c>
      <c r="AN274" s="872" t="str">
        <f>IFERROR(VLOOKUP(E274,'liquidaciones '!$B$2:$C$1048576,2,0),"NO")</f>
        <v>LIQUIDADO</v>
      </c>
      <c r="AO274" s="972">
        <f>IFERROR(VLOOKUP(E274,'liquidaciones '!$B$2:$I$1048576,8,0),"")</f>
        <v>0</v>
      </c>
      <c r="AP274" s="339"/>
      <c r="AQ274" s="177" t="str">
        <f t="shared" ca="1" si="51"/>
        <v>NO</v>
      </c>
      <c r="AR274" s="177" t="s">
        <v>981</v>
      </c>
      <c r="AS274" s="435"/>
      <c r="AT274" s="992"/>
    </row>
    <row r="275" spans="2:46" ht="47.25" customHeight="1" x14ac:dyDescent="0.25">
      <c r="B275" s="15">
        <v>269</v>
      </c>
      <c r="C275" s="439"/>
      <c r="D275" s="439" t="str">
        <f t="shared" si="53"/>
        <v>2014</v>
      </c>
      <c r="E275" s="892" t="s">
        <v>1549</v>
      </c>
      <c r="F275" s="890" t="s">
        <v>3691</v>
      </c>
      <c r="G275" s="892">
        <v>860506170</v>
      </c>
      <c r="H275" s="884" t="s">
        <v>1550</v>
      </c>
      <c r="I275" s="210">
        <v>0</v>
      </c>
      <c r="J275" s="134" t="s">
        <v>1088</v>
      </c>
      <c r="K275" s="295">
        <v>2014</v>
      </c>
      <c r="L275" s="548" t="s">
        <v>1088</v>
      </c>
      <c r="M275" s="891">
        <v>41984</v>
      </c>
      <c r="N275" s="891">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2" t="str">
        <f>IFERROR(VLOOKUP(E275,'liquidaciones '!$B$2:$C$1048576,2,0),"NO")</f>
        <v>EN TRÁMITE</v>
      </c>
      <c r="AO275" s="972">
        <f>IFERROR(VLOOKUP(E275,'liquidaciones '!$B$2:$I$1048576,8,0),"")</f>
        <v>0</v>
      </c>
      <c r="AP275" s="339"/>
      <c r="AQ275" s="177" t="str">
        <f t="shared" ca="1" si="51"/>
        <v>NO</v>
      </c>
      <c r="AR275" s="177"/>
      <c r="AS275" s="435"/>
      <c r="AT275" s="992"/>
    </row>
    <row r="276" spans="2:46" ht="47.25" customHeight="1" x14ac:dyDescent="0.25">
      <c r="B276" s="15">
        <v>270</v>
      </c>
      <c r="C276" s="439">
        <v>124</v>
      </c>
      <c r="D276" s="439" t="str">
        <f t="shared" si="53"/>
        <v>2015124</v>
      </c>
      <c r="E276" s="352" t="s">
        <v>1553</v>
      </c>
      <c r="F276" s="890" t="s">
        <v>1033</v>
      </c>
      <c r="G276" s="892">
        <v>51931422</v>
      </c>
      <c r="H276" s="884" t="s">
        <v>1554</v>
      </c>
      <c r="I276" s="210">
        <v>60000000</v>
      </c>
      <c r="J276" s="728" t="s">
        <v>1553</v>
      </c>
      <c r="K276" s="295">
        <v>2015</v>
      </c>
      <c r="L276" s="548">
        <v>42044</v>
      </c>
      <c r="M276" s="891">
        <v>42045</v>
      </c>
      <c r="N276" s="891">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2175</v>
      </c>
      <c r="AG276" s="173" t="s">
        <v>1178</v>
      </c>
      <c r="AH276" s="281" t="s">
        <v>559</v>
      </c>
      <c r="AI276" s="174"/>
      <c r="AJ276" s="305" t="s">
        <v>954</v>
      </c>
      <c r="AK276" s="181" t="str">
        <f t="shared" ca="1" si="60"/>
        <v>TERMINO</v>
      </c>
      <c r="AL276" s="181" t="s">
        <v>582</v>
      </c>
      <c r="AM276" s="176" t="s">
        <v>391</v>
      </c>
      <c r="AN276" s="872" t="str">
        <f>IFERROR(VLOOKUP(E276,'liquidaciones '!$B$2:$C$1048576,2,0),"NO")</f>
        <v>LIQUIDADO</v>
      </c>
      <c r="AO276" s="972">
        <f>IFERROR(VLOOKUP(E276,'liquidaciones '!$B$2:$I$1048576,8,0),"")</f>
        <v>0</v>
      </c>
      <c r="AP276" s="339"/>
      <c r="AQ276" s="177" t="str">
        <f t="shared" ca="1" si="51"/>
        <v>NO</v>
      </c>
      <c r="AR276" s="177" t="s">
        <v>981</v>
      </c>
      <c r="AS276" s="435"/>
      <c r="AT276" s="992"/>
    </row>
    <row r="277" spans="2:46" ht="47.25" customHeight="1" x14ac:dyDescent="0.25">
      <c r="B277" s="15">
        <v>271</v>
      </c>
      <c r="C277" s="439">
        <v>137</v>
      </c>
      <c r="D277" s="439" t="str">
        <f t="shared" si="53"/>
        <v>2015137</v>
      </c>
      <c r="E277" s="352" t="s">
        <v>1555</v>
      </c>
      <c r="F277" s="890" t="s">
        <v>2018</v>
      </c>
      <c r="G277" s="892">
        <v>79799184</v>
      </c>
      <c r="H277" s="884" t="s">
        <v>1556</v>
      </c>
      <c r="I277" s="210">
        <v>63654000</v>
      </c>
      <c r="J277" s="728" t="s">
        <v>1555</v>
      </c>
      <c r="K277" s="295">
        <v>2015</v>
      </c>
      <c r="L277" s="548">
        <v>42044</v>
      </c>
      <c r="M277" s="891">
        <v>42045</v>
      </c>
      <c r="N277" s="891">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09" t="s">
        <v>1095</v>
      </c>
      <c r="Y277" s="42">
        <f t="shared" si="56"/>
        <v>0.47499978006095456</v>
      </c>
      <c r="Z277" s="42">
        <f t="shared" ca="1" si="57"/>
        <v>1</v>
      </c>
      <c r="AA277" s="43">
        <f t="shared" ca="1" si="58"/>
        <v>0.52500021993904544</v>
      </c>
      <c r="AB277" s="202" t="str">
        <f t="shared" ca="1" si="59"/>
        <v/>
      </c>
      <c r="AC277" s="44" t="str">
        <f t="shared" si="50"/>
        <v>NO</v>
      </c>
      <c r="AD277" s="762" t="str">
        <f>VLOOKUP(C277,[2]Hoja4!$A$2:$E$116,5,0)</f>
        <v>PRESTACION DE SERVICIOS1</v>
      </c>
      <c r="AE277" s="173" t="s">
        <v>1258</v>
      </c>
      <c r="AF277" s="173" t="s">
        <v>2176</v>
      </c>
      <c r="AG277" s="173" t="s">
        <v>1178</v>
      </c>
      <c r="AH277" s="281" t="s">
        <v>559</v>
      </c>
      <c r="AI277" s="174"/>
      <c r="AJ277" s="305" t="s">
        <v>954</v>
      </c>
      <c r="AK277" s="181" t="str">
        <f t="shared" ca="1" si="60"/>
        <v>TERMINO</v>
      </c>
      <c r="AL277" s="181" t="s">
        <v>582</v>
      </c>
      <c r="AM277" s="176" t="s">
        <v>391</v>
      </c>
      <c r="AN277" s="872" t="str">
        <f>IFERROR(VLOOKUP(E277,'liquidaciones '!$B$2:$C$1048576,2,0),"NO")</f>
        <v>LIQUIDADO</v>
      </c>
      <c r="AO277" s="972">
        <f>IFERROR(VLOOKUP(E277,'liquidaciones '!$B$2:$I$1048576,8,0),"")</f>
        <v>0</v>
      </c>
      <c r="AP277" s="339"/>
      <c r="AQ277" s="177" t="str">
        <f t="shared" ca="1" si="51"/>
        <v>NO</v>
      </c>
      <c r="AR277" s="177"/>
      <c r="AS277" s="435"/>
      <c r="AT277" s="992"/>
    </row>
    <row r="278" spans="2:46" ht="47.25" customHeight="1" x14ac:dyDescent="0.25">
      <c r="B278" s="15">
        <v>272</v>
      </c>
      <c r="C278" s="439">
        <v>126</v>
      </c>
      <c r="D278" s="439" t="str">
        <f t="shared" si="53"/>
        <v>2015126</v>
      </c>
      <c r="E278" s="352" t="s">
        <v>1557</v>
      </c>
      <c r="F278" s="890" t="s">
        <v>1516</v>
      </c>
      <c r="G278" s="133">
        <v>80117116</v>
      </c>
      <c r="H278" s="884" t="s">
        <v>1578</v>
      </c>
      <c r="I278" s="210">
        <v>48000000</v>
      </c>
      <c r="J278" s="728" t="s">
        <v>1557</v>
      </c>
      <c r="K278" s="295">
        <v>2015</v>
      </c>
      <c r="L278" s="548">
        <v>42051</v>
      </c>
      <c r="M278" s="891">
        <v>42053</v>
      </c>
      <c r="N278" s="891">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tr">
        <f>VLOOKUP(C278,[2]Hoja4!$A$2:$E$116,5,0)</f>
        <v>PRESTACION DE SERVICIOS1</v>
      </c>
      <c r="AE278" s="173" t="s">
        <v>1257</v>
      </c>
      <c r="AF278" s="173" t="s">
        <v>2177</v>
      </c>
      <c r="AG278" s="173" t="s">
        <v>1431</v>
      </c>
      <c r="AH278" s="281" t="s">
        <v>564</v>
      </c>
      <c r="AI278" s="174" t="s">
        <v>2171</v>
      </c>
      <c r="AJ278" s="305" t="s">
        <v>954</v>
      </c>
      <c r="AK278" s="181" t="str">
        <f t="shared" ca="1" si="60"/>
        <v>TERMINO</v>
      </c>
      <c r="AL278" s="181" t="s">
        <v>582</v>
      </c>
      <c r="AM278" s="176" t="s">
        <v>391</v>
      </c>
      <c r="AN278" s="872" t="str">
        <f>IFERROR(VLOOKUP(E278,'liquidaciones '!$B$2:$C$1048576,2,0),"NO")</f>
        <v>LIQUIDADO</v>
      </c>
      <c r="AO278" s="972">
        <f>IFERROR(VLOOKUP(E278,'liquidaciones '!$B$2:$I$1048576,8,0),"")</f>
        <v>0</v>
      </c>
      <c r="AP278" s="339"/>
      <c r="AQ278" s="177" t="str">
        <f t="shared" ca="1" si="51"/>
        <v>NO</v>
      </c>
      <c r="AR278" s="177" t="s">
        <v>981</v>
      </c>
      <c r="AS278" s="435"/>
      <c r="AT278" s="992"/>
    </row>
    <row r="279" spans="2:46" ht="47.25" customHeight="1" x14ac:dyDescent="0.25">
      <c r="B279" s="15">
        <v>273</v>
      </c>
      <c r="C279" s="439">
        <v>133</v>
      </c>
      <c r="D279" s="439" t="str">
        <f t="shared" si="53"/>
        <v>2015133</v>
      </c>
      <c r="E279" s="352" t="s">
        <v>1570</v>
      </c>
      <c r="F279" s="890" t="s">
        <v>1569</v>
      </c>
      <c r="G279" s="892">
        <v>41468417</v>
      </c>
      <c r="H279" s="884" t="s">
        <v>1563</v>
      </c>
      <c r="I279" s="210">
        <v>63654000</v>
      </c>
      <c r="J279" s="728" t="s">
        <v>1570</v>
      </c>
      <c r="K279" s="295">
        <v>2015</v>
      </c>
      <c r="L279" s="548">
        <v>42053</v>
      </c>
      <c r="M279" s="891">
        <v>42054</v>
      </c>
      <c r="N279" s="891">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tr">
        <f>VLOOKUP(C279,[2]Hoja4!$A$2:$E$116,5,0)</f>
        <v>PRESTACION DE SERVICIOS1</v>
      </c>
      <c r="AE279" s="173" t="s">
        <v>1257</v>
      </c>
      <c r="AF279" s="173" t="s">
        <v>2178</v>
      </c>
      <c r="AG279" s="173" t="s">
        <v>1178</v>
      </c>
      <c r="AH279" s="281" t="s">
        <v>559</v>
      </c>
      <c r="AI279" s="174"/>
      <c r="AJ279" s="305" t="s">
        <v>954</v>
      </c>
      <c r="AK279" s="181" t="str">
        <f t="shared" ca="1" si="60"/>
        <v>TERMINO</v>
      </c>
      <c r="AL279" s="181" t="s">
        <v>582</v>
      </c>
      <c r="AM279" s="176" t="s">
        <v>391</v>
      </c>
      <c r="AN279" s="872" t="str">
        <f>IFERROR(VLOOKUP(E279,'liquidaciones '!$B$2:$C$1048576,2,0),"NO")</f>
        <v>LIQUIDADO</v>
      </c>
      <c r="AO279" s="972">
        <f>IFERROR(VLOOKUP(E279,'liquidaciones '!$B$2:$I$1048576,8,0),"")</f>
        <v>0</v>
      </c>
      <c r="AP279" s="339"/>
      <c r="AQ279" s="177" t="str">
        <f t="shared" ca="1" si="51"/>
        <v>NO</v>
      </c>
      <c r="AR279" s="177" t="s">
        <v>2079</v>
      </c>
      <c r="AS279" s="435"/>
      <c r="AT279" s="992"/>
    </row>
    <row r="280" spans="2:46" ht="47.25" customHeight="1" x14ac:dyDescent="0.25">
      <c r="B280" s="15">
        <v>274</v>
      </c>
      <c r="C280" s="439">
        <v>130</v>
      </c>
      <c r="D280" s="439" t="str">
        <f t="shared" si="53"/>
        <v>2015130</v>
      </c>
      <c r="E280" s="352" t="s">
        <v>1611</v>
      </c>
      <c r="F280" s="890" t="s">
        <v>2392</v>
      </c>
      <c r="G280" s="892">
        <v>74323767</v>
      </c>
      <c r="H280" s="884" t="s">
        <v>1558</v>
      </c>
      <c r="I280" s="210">
        <v>60000000</v>
      </c>
      <c r="J280" s="728" t="s">
        <v>1611</v>
      </c>
      <c r="K280" s="295">
        <v>2015</v>
      </c>
      <c r="L280" s="548">
        <v>42052</v>
      </c>
      <c r="M280" s="891">
        <v>42054</v>
      </c>
      <c r="N280" s="891">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tr">
        <f>VLOOKUP(C280,[2]Hoja4!$A$2:$E$116,5,0)</f>
        <v>PRESTACION DE SERVICIOS1</v>
      </c>
      <c r="AE280" s="173" t="s">
        <v>1257</v>
      </c>
      <c r="AF280" s="173" t="s">
        <v>2179</v>
      </c>
      <c r="AG280" s="173" t="s">
        <v>1178</v>
      </c>
      <c r="AH280" s="281" t="s">
        <v>559</v>
      </c>
      <c r="AI280" s="174"/>
      <c r="AJ280" s="305" t="s">
        <v>954</v>
      </c>
      <c r="AK280" s="181" t="str">
        <f t="shared" ca="1" si="60"/>
        <v>TERMINO</v>
      </c>
      <c r="AL280" s="181" t="s">
        <v>582</v>
      </c>
      <c r="AM280" s="176" t="s">
        <v>391</v>
      </c>
      <c r="AN280" s="872" t="str">
        <f>IFERROR(VLOOKUP(E280,'liquidaciones '!$B$2:$C$1048576,2,0),"NO")</f>
        <v>LIQUIDADO</v>
      </c>
      <c r="AO280" s="972">
        <f>IFERROR(VLOOKUP(E280,'liquidaciones '!$B$2:$I$1048576,8,0),"")</f>
        <v>0</v>
      </c>
      <c r="AP280" s="339"/>
      <c r="AQ280" s="177" t="str">
        <f t="shared" ca="1" si="51"/>
        <v>NO</v>
      </c>
      <c r="AR280" s="177" t="s">
        <v>2079</v>
      </c>
      <c r="AS280" s="435"/>
      <c r="AT280" s="992"/>
    </row>
    <row r="281" spans="2:46" ht="47.25" customHeight="1" x14ac:dyDescent="0.25">
      <c r="B281" s="15">
        <v>275</v>
      </c>
      <c r="C281" s="439">
        <v>136</v>
      </c>
      <c r="D281" s="439" t="str">
        <f t="shared" si="53"/>
        <v>2015136</v>
      </c>
      <c r="E281" s="352" t="s">
        <v>1560</v>
      </c>
      <c r="F281" s="890" t="s">
        <v>1070</v>
      </c>
      <c r="G281" s="892">
        <v>1073156298</v>
      </c>
      <c r="H281" s="884" t="s">
        <v>1562</v>
      </c>
      <c r="I281" s="210">
        <v>43260000</v>
      </c>
      <c r="J281" s="728" t="s">
        <v>1560</v>
      </c>
      <c r="K281" s="295">
        <v>2015</v>
      </c>
      <c r="L281" s="548">
        <v>42054</v>
      </c>
      <c r="M281" s="891">
        <v>42060</v>
      </c>
      <c r="N281" s="891">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tr">
        <f>VLOOKUP(C281,[2]Hoja4!$A$2:$E$116,5,0)</f>
        <v>PRESTACION DE SERVICIOS1</v>
      </c>
      <c r="AE281" s="173" t="s">
        <v>1257</v>
      </c>
      <c r="AF281" s="173" t="s">
        <v>2180</v>
      </c>
      <c r="AG281" s="173" t="s">
        <v>1178</v>
      </c>
      <c r="AH281" s="281" t="s">
        <v>559</v>
      </c>
      <c r="AI281" s="174"/>
      <c r="AJ281" s="305" t="s">
        <v>954</v>
      </c>
      <c r="AK281" s="181" t="str">
        <f t="shared" ca="1" si="60"/>
        <v>TERMINO</v>
      </c>
      <c r="AL281" s="181" t="s">
        <v>582</v>
      </c>
      <c r="AM281" s="176" t="s">
        <v>391</v>
      </c>
      <c r="AN281" s="872" t="str">
        <f>IFERROR(VLOOKUP(E281,'liquidaciones '!$B$2:$C$1048576,2,0),"NO")</f>
        <v>LIQUIDADO</v>
      </c>
      <c r="AO281" s="972">
        <f>IFERROR(VLOOKUP(E281,'liquidaciones '!$B$2:$I$1048576,8,0),"")</f>
        <v>0</v>
      </c>
      <c r="AP281" s="339"/>
      <c r="AQ281" s="177" t="str">
        <f t="shared" ca="1" si="51"/>
        <v>NO</v>
      </c>
      <c r="AR281" s="177" t="s">
        <v>2079</v>
      </c>
      <c r="AS281" s="435"/>
      <c r="AT281" s="992"/>
    </row>
    <row r="282" spans="2:46" ht="47.25" customHeight="1" x14ac:dyDescent="0.25">
      <c r="B282" s="15">
        <v>276</v>
      </c>
      <c r="C282" s="439">
        <v>125</v>
      </c>
      <c r="D282" s="439" t="str">
        <f t="shared" si="53"/>
        <v>2015125</v>
      </c>
      <c r="E282" s="352" t="s">
        <v>1561</v>
      </c>
      <c r="F282" s="890" t="s">
        <v>2441</v>
      </c>
      <c r="G282" s="892">
        <v>52967877</v>
      </c>
      <c r="H282" s="884" t="s">
        <v>1559</v>
      </c>
      <c r="I282" s="210">
        <v>63654000</v>
      </c>
      <c r="J282" s="728" t="s">
        <v>1561</v>
      </c>
      <c r="K282" s="295">
        <v>2015</v>
      </c>
      <c r="L282" s="548">
        <v>42054</v>
      </c>
      <c r="M282" s="891">
        <v>42060</v>
      </c>
      <c r="N282" s="891">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tr">
        <f>VLOOKUP(C282,[2]Hoja4!$A$2:$E$116,5,0)</f>
        <v>PRESTACION DE SERVICIOS1</v>
      </c>
      <c r="AE282" s="173" t="s">
        <v>1257</v>
      </c>
      <c r="AF282" s="173" t="s">
        <v>2179</v>
      </c>
      <c r="AG282" s="173" t="s">
        <v>1178</v>
      </c>
      <c r="AH282" s="281" t="s">
        <v>559</v>
      </c>
      <c r="AI282" s="174"/>
      <c r="AJ282" s="305" t="s">
        <v>954</v>
      </c>
      <c r="AK282" s="181" t="str">
        <f t="shared" ca="1" si="60"/>
        <v>TERMINO</v>
      </c>
      <c r="AL282" s="181" t="s">
        <v>582</v>
      </c>
      <c r="AM282" s="176" t="s">
        <v>391</v>
      </c>
      <c r="AN282" s="872" t="str">
        <f>IFERROR(VLOOKUP(E282,'liquidaciones '!$B$2:$C$1048576,2,0),"NO")</f>
        <v>LIQUIDADO</v>
      </c>
      <c r="AO282" s="972">
        <f>IFERROR(VLOOKUP(E282,'liquidaciones '!$B$2:$I$1048576,8,0),"")</f>
        <v>0</v>
      </c>
      <c r="AP282" s="339"/>
      <c r="AQ282" s="177" t="str">
        <f t="shared" ca="1" si="51"/>
        <v>SI</v>
      </c>
      <c r="AR282" s="177" t="s">
        <v>2079</v>
      </c>
      <c r="AS282" s="435"/>
      <c r="AT282" s="992"/>
    </row>
    <row r="283" spans="2:46" ht="47.25" customHeight="1" x14ac:dyDescent="0.25">
      <c r="B283" s="15">
        <v>277</v>
      </c>
      <c r="C283" s="439">
        <v>132</v>
      </c>
      <c r="D283" s="439" t="str">
        <f t="shared" si="53"/>
        <v>2015132</v>
      </c>
      <c r="E283" s="352" t="s">
        <v>1579</v>
      </c>
      <c r="F283" s="890" t="s">
        <v>1580</v>
      </c>
      <c r="G283" s="892">
        <v>28557652</v>
      </c>
      <c r="H283" s="884" t="s">
        <v>1581</v>
      </c>
      <c r="I283" s="210">
        <v>30900000</v>
      </c>
      <c r="J283" s="728" t="s">
        <v>1579</v>
      </c>
      <c r="K283" s="295">
        <v>2015</v>
      </c>
      <c r="L283" s="548">
        <v>42055</v>
      </c>
      <c r="M283" s="891">
        <v>42065</v>
      </c>
      <c r="N283" s="891">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tr">
        <f>VLOOKUP(C283,[2]Hoja4!$A$2:$E$116,5,0)</f>
        <v>PRESTACION DE SERVICIOS1</v>
      </c>
      <c r="AE283" s="173" t="s">
        <v>1257</v>
      </c>
      <c r="AF283" s="173" t="s">
        <v>2181</v>
      </c>
      <c r="AG283" s="173" t="s">
        <v>1431</v>
      </c>
      <c r="AH283" s="281" t="s">
        <v>564</v>
      </c>
      <c r="AI283" s="305"/>
      <c r="AJ283" s="305" t="s">
        <v>954</v>
      </c>
      <c r="AK283" s="181" t="str">
        <f t="shared" ca="1" si="60"/>
        <v>TERMINO</v>
      </c>
      <c r="AL283" s="181" t="s">
        <v>582</v>
      </c>
      <c r="AM283" s="176" t="s">
        <v>391</v>
      </c>
      <c r="AN283" s="872" t="str">
        <f>IFERROR(VLOOKUP(E283,'liquidaciones '!$B$2:$C$1048576,2,0),"NO")</f>
        <v>LIQUIDADO</v>
      </c>
      <c r="AO283" s="972">
        <f>IFERROR(VLOOKUP(E283,'liquidaciones '!$B$2:$I$1048576,8,0),"")</f>
        <v>0</v>
      </c>
      <c r="AP283" s="339"/>
      <c r="AQ283" s="177" t="str">
        <f t="shared" ca="1" si="51"/>
        <v>NO</v>
      </c>
      <c r="AR283" s="177" t="s">
        <v>981</v>
      </c>
      <c r="AS283" s="435"/>
      <c r="AT283" s="992"/>
    </row>
    <row r="284" spans="2:46" ht="47.25" customHeight="1" x14ac:dyDescent="0.25">
      <c r="B284" s="15">
        <v>278</v>
      </c>
      <c r="C284" s="439">
        <v>162</v>
      </c>
      <c r="D284" s="439" t="str">
        <f t="shared" si="53"/>
        <v>2015162</v>
      </c>
      <c r="E284" s="892" t="s">
        <v>1582</v>
      </c>
      <c r="F284" s="890" t="s">
        <v>3</v>
      </c>
      <c r="G284" s="133">
        <v>830095213</v>
      </c>
      <c r="H284" s="884" t="s">
        <v>402</v>
      </c>
      <c r="I284" s="210">
        <v>444600000</v>
      </c>
      <c r="J284" s="701"/>
      <c r="K284" s="295">
        <v>2015</v>
      </c>
      <c r="L284" s="548"/>
      <c r="M284" s="891">
        <v>42064</v>
      </c>
      <c r="N284" s="891">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2" t="str">
        <f>IFERROR(VLOOKUP(E284,'liquidaciones '!$B$2:$C$1048576,2,0),"NO")</f>
        <v>LIQUIDADO</v>
      </c>
      <c r="AO284" s="972" t="str">
        <f>IFERROR(VLOOKUP(E284,'liquidaciones '!$B$2:$I$1048576,8,0),"")</f>
        <v>JULIETH ANGARITA</v>
      </c>
      <c r="AP284" s="339"/>
      <c r="AQ284" s="177" t="str">
        <f t="shared" ca="1" si="51"/>
        <v>NO</v>
      </c>
      <c r="AR284" s="177" t="s">
        <v>1511</v>
      </c>
      <c r="AS284" s="435"/>
      <c r="AT284" s="992"/>
    </row>
    <row r="285" spans="2:46" ht="47.25" customHeight="1" x14ac:dyDescent="0.25">
      <c r="B285" s="15">
        <v>279</v>
      </c>
      <c r="C285" s="439">
        <v>128</v>
      </c>
      <c r="D285" s="439" t="str">
        <f t="shared" si="53"/>
        <v>2015128</v>
      </c>
      <c r="E285" s="352" t="s">
        <v>1583</v>
      </c>
      <c r="F285" s="890" t="s">
        <v>1034</v>
      </c>
      <c r="G285" s="892">
        <v>79887061</v>
      </c>
      <c r="H285" s="884" t="s">
        <v>1612</v>
      </c>
      <c r="I285" s="210">
        <v>38400000</v>
      </c>
      <c r="J285" s="728" t="s">
        <v>1583</v>
      </c>
      <c r="K285" s="295">
        <v>2015</v>
      </c>
      <c r="L285" s="548">
        <v>42062</v>
      </c>
      <c r="M285" s="891">
        <v>42073</v>
      </c>
      <c r="N285" s="891">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tr">
        <f>VLOOKUP(C285,[2]Hoja4!$A$2:$E$116,5,0)</f>
        <v>PRESTACION DE SERVICIOS1</v>
      </c>
      <c r="AE285" s="173" t="s">
        <v>1257</v>
      </c>
      <c r="AF285" s="173" t="s">
        <v>2182</v>
      </c>
      <c r="AG285" s="173" t="s">
        <v>1440</v>
      </c>
      <c r="AH285" s="281" t="s">
        <v>560</v>
      </c>
      <c r="AI285" s="305" t="s">
        <v>1510</v>
      </c>
      <c r="AJ285" s="305" t="s">
        <v>954</v>
      </c>
      <c r="AK285" s="181" t="str">
        <f t="shared" ca="1" si="60"/>
        <v>TERMINO</v>
      </c>
      <c r="AL285" s="181" t="s">
        <v>582</v>
      </c>
      <c r="AM285" s="176" t="s">
        <v>391</v>
      </c>
      <c r="AN285" s="872" t="str">
        <f>IFERROR(VLOOKUP(E285,'liquidaciones '!$B$2:$C$1048576,2,0),"NO")</f>
        <v>LIQUIDADO</v>
      </c>
      <c r="AO285" s="972">
        <f>IFERROR(VLOOKUP(E285,'liquidaciones '!$B$2:$I$1048576,8,0),"")</f>
        <v>0</v>
      </c>
      <c r="AP285" s="339"/>
      <c r="AQ285" s="177" t="str">
        <f t="shared" ca="1" si="51"/>
        <v>NO</v>
      </c>
      <c r="AR285" s="177" t="s">
        <v>981</v>
      </c>
      <c r="AS285" s="435"/>
      <c r="AT285" s="992"/>
    </row>
    <row r="286" spans="2:46" ht="47.25" customHeight="1" x14ac:dyDescent="0.25">
      <c r="B286" s="15">
        <v>280</v>
      </c>
      <c r="C286" s="439">
        <v>127</v>
      </c>
      <c r="D286" s="439" t="str">
        <f t="shared" si="53"/>
        <v>2015127</v>
      </c>
      <c r="E286" s="352" t="s">
        <v>1584</v>
      </c>
      <c r="F286" s="890" t="s">
        <v>1585</v>
      </c>
      <c r="G286" s="892">
        <v>53124369</v>
      </c>
      <c r="H286" s="884" t="s">
        <v>1586</v>
      </c>
      <c r="I286" s="210">
        <v>78000000</v>
      </c>
      <c r="J286" s="728" t="s">
        <v>1584</v>
      </c>
      <c r="K286" s="295">
        <v>2015</v>
      </c>
      <c r="L286" s="548">
        <v>42066</v>
      </c>
      <c r="M286" s="891">
        <v>42066</v>
      </c>
      <c r="N286" s="891">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tr">
        <f>VLOOKUP(C286,[2]Hoja4!$A$2:$E$116,5,0)</f>
        <v>PRESTACION DE SERVICIOS1</v>
      </c>
      <c r="AE286" s="173" t="s">
        <v>1257</v>
      </c>
      <c r="AF286" s="173" t="s">
        <v>1972</v>
      </c>
      <c r="AG286" s="173" t="s">
        <v>1438</v>
      </c>
      <c r="AH286" s="281" t="s">
        <v>561</v>
      </c>
      <c r="AI286" s="305"/>
      <c r="AJ286" s="305" t="s">
        <v>954</v>
      </c>
      <c r="AK286" s="181" t="str">
        <f t="shared" ca="1" si="60"/>
        <v>TERMINO</v>
      </c>
      <c r="AL286" s="310" t="s">
        <v>582</v>
      </c>
      <c r="AM286" s="176" t="s">
        <v>391</v>
      </c>
      <c r="AN286" s="872" t="str">
        <f>IFERROR(VLOOKUP(E286,'liquidaciones '!$B$2:$C$1048576,2,0),"NO")</f>
        <v>LIQUIDADO</v>
      </c>
      <c r="AO286" s="972">
        <f>IFERROR(VLOOKUP(E286,'liquidaciones '!$B$2:$I$1048576,8,0),"")</f>
        <v>0</v>
      </c>
      <c r="AP286" s="339"/>
      <c r="AQ286" s="177" t="str">
        <f t="shared" ca="1" si="51"/>
        <v>NO</v>
      </c>
      <c r="AR286" s="177" t="s">
        <v>1511</v>
      </c>
      <c r="AS286" s="435"/>
      <c r="AT286" s="992"/>
    </row>
    <row r="287" spans="2:46" ht="47.25" customHeight="1" x14ac:dyDescent="0.25">
      <c r="B287" s="15">
        <v>281</v>
      </c>
      <c r="C287" s="439">
        <v>131</v>
      </c>
      <c r="D287" s="439" t="str">
        <f t="shared" si="53"/>
        <v>2015131</v>
      </c>
      <c r="E287" s="352" t="s">
        <v>1587</v>
      </c>
      <c r="F287" s="890" t="s">
        <v>1588</v>
      </c>
      <c r="G287" s="892">
        <v>51961125</v>
      </c>
      <c r="H287" s="884" t="s">
        <v>1075</v>
      </c>
      <c r="I287" s="210">
        <v>30900000</v>
      </c>
      <c r="J287" s="728" t="s">
        <v>1587</v>
      </c>
      <c r="K287" s="295">
        <v>2015</v>
      </c>
      <c r="L287" s="548">
        <v>42066</v>
      </c>
      <c r="M287" s="891">
        <v>42073</v>
      </c>
      <c r="N287" s="891">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tr">
        <f>VLOOKUP(C287,[2]Hoja4!$A$2:$E$116,5,0)</f>
        <v>PRESTACION DE SERVICIOS1</v>
      </c>
      <c r="AE287" s="173" t="s">
        <v>1257</v>
      </c>
      <c r="AF287" s="173" t="s">
        <v>2183</v>
      </c>
      <c r="AG287" s="173" t="s">
        <v>1178</v>
      </c>
      <c r="AH287" s="281" t="s">
        <v>559</v>
      </c>
      <c r="AI287" s="305"/>
      <c r="AJ287" s="305" t="s">
        <v>954</v>
      </c>
      <c r="AK287" s="181" t="str">
        <f t="shared" ca="1" si="60"/>
        <v>TERMINO</v>
      </c>
      <c r="AL287" s="310" t="s">
        <v>582</v>
      </c>
      <c r="AM287" s="176" t="s">
        <v>391</v>
      </c>
      <c r="AN287" s="872" t="str">
        <f>IFERROR(VLOOKUP(E287,'liquidaciones '!$B$2:$C$1048576,2,0),"NO")</f>
        <v>LIQUIDADO</v>
      </c>
      <c r="AO287" s="972">
        <f>IFERROR(VLOOKUP(E287,'liquidaciones '!$B$2:$I$1048576,8,0),"")</f>
        <v>0</v>
      </c>
      <c r="AP287" s="339"/>
      <c r="AQ287" s="177" t="str">
        <f t="shared" ref="AQ287:AQ318" ca="1" si="62">IF((TODAY()-T287&lt;900),"SI","NO")</f>
        <v>NO</v>
      </c>
      <c r="AR287" s="177" t="s">
        <v>2079</v>
      </c>
      <c r="AS287" s="435"/>
      <c r="AT287" s="992"/>
    </row>
    <row r="288" spans="2:46" ht="47.25" customHeight="1" x14ac:dyDescent="0.25">
      <c r="B288" s="15">
        <v>282</v>
      </c>
      <c r="C288" s="439">
        <v>68</v>
      </c>
      <c r="D288" s="439" t="str">
        <f t="shared" si="53"/>
        <v>201568</v>
      </c>
      <c r="E288" s="352" t="s">
        <v>1606</v>
      </c>
      <c r="F288" s="890" t="s">
        <v>1339</v>
      </c>
      <c r="G288" s="892">
        <v>899999115</v>
      </c>
      <c r="H288" s="884" t="s">
        <v>1607</v>
      </c>
      <c r="I288" s="210">
        <v>150000000</v>
      </c>
      <c r="J288" s="728" t="s">
        <v>1606</v>
      </c>
      <c r="K288" s="295">
        <v>2015</v>
      </c>
      <c r="L288" s="548">
        <v>42066</v>
      </c>
      <c r="M288" s="891">
        <v>42090</v>
      </c>
      <c r="N288" s="891">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2" t="str">
        <f>IFERROR(VLOOKUP(E288,'liquidaciones '!$B$2:$C$1048576,2,0),"NO")</f>
        <v>LIQUIDADO</v>
      </c>
      <c r="AO288" s="972">
        <f>IFERROR(VLOOKUP(E288,'liquidaciones '!$B$2:$I$1048576,8,0),"")</f>
        <v>0</v>
      </c>
      <c r="AP288" s="339"/>
      <c r="AQ288" s="177" t="str">
        <f t="shared" ca="1" si="62"/>
        <v>NO</v>
      </c>
      <c r="AR288" s="177" t="s">
        <v>1995</v>
      </c>
      <c r="AS288" s="435"/>
      <c r="AT288" s="992"/>
    </row>
    <row r="289" spans="2:46" ht="58.5" customHeight="1" x14ac:dyDescent="0.25">
      <c r="B289" s="15">
        <v>283</v>
      </c>
      <c r="C289" s="439"/>
      <c r="D289" s="439" t="str">
        <f t="shared" si="53"/>
        <v>2015</v>
      </c>
      <c r="E289" s="892" t="s">
        <v>1589</v>
      </c>
      <c r="F289" s="890" t="s">
        <v>1590</v>
      </c>
      <c r="G289" s="892">
        <v>800018165</v>
      </c>
      <c r="H289" s="884" t="s">
        <v>1591</v>
      </c>
      <c r="I289" s="210">
        <v>0</v>
      </c>
      <c r="J289" s="702" t="s">
        <v>2090</v>
      </c>
      <c r="K289" s="295">
        <v>2015</v>
      </c>
      <c r="L289" s="548">
        <v>42068</v>
      </c>
      <c r="M289" s="891"/>
      <c r="N289" s="891"/>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2" t="str">
        <f>IFERROR(VLOOKUP(E289,'liquidaciones '!$B$2:$C$1048576,2,0),"NO")</f>
        <v>LIQUIDADO</v>
      </c>
      <c r="AO289" s="972">
        <f>IFERROR(VLOOKUP(E289,'liquidaciones '!$B$2:$I$1048576,8,0),"")</f>
        <v>0</v>
      </c>
      <c r="AP289" s="339"/>
      <c r="AQ289" s="177" t="str">
        <f t="shared" ca="1" si="62"/>
        <v>NO</v>
      </c>
      <c r="AR289" s="177"/>
      <c r="AS289" s="435"/>
      <c r="AT289" s="992"/>
    </row>
    <row r="290" spans="2:46" ht="47.25" customHeight="1" x14ac:dyDescent="0.25">
      <c r="B290" s="15">
        <v>284</v>
      </c>
      <c r="C290" s="439">
        <v>143</v>
      </c>
      <c r="D290" s="439" t="str">
        <f t="shared" si="53"/>
        <v>2015143</v>
      </c>
      <c r="E290" s="892" t="s">
        <v>1595</v>
      </c>
      <c r="F290" s="890" t="s">
        <v>1031</v>
      </c>
      <c r="G290" s="892">
        <v>800249557</v>
      </c>
      <c r="H290" s="884" t="s">
        <v>1596</v>
      </c>
      <c r="I290" s="210">
        <v>4100000</v>
      </c>
      <c r="J290" s="702" t="s">
        <v>1595</v>
      </c>
      <c r="K290" s="295">
        <v>2015</v>
      </c>
      <c r="L290" s="548">
        <v>42080</v>
      </c>
      <c r="M290" s="891">
        <v>42088</v>
      </c>
      <c r="N290" s="891">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2" t="str">
        <f>IFERROR(VLOOKUP(E290,'liquidaciones '!$B$2:$C$1048576,2,0),"NO")</f>
        <v>EN TRÁMITE</v>
      </c>
      <c r="AO290" s="972">
        <f>IFERROR(VLOOKUP(E290,'liquidaciones '!$B$2:$I$1048576,8,0),"")</f>
        <v>0</v>
      </c>
      <c r="AP290" s="339">
        <v>42304</v>
      </c>
      <c r="AQ290" s="177" t="str">
        <f t="shared" ca="1" si="62"/>
        <v>NO</v>
      </c>
      <c r="AR290" s="177" t="s">
        <v>1511</v>
      </c>
      <c r="AS290" s="435"/>
      <c r="AT290" s="992"/>
    </row>
    <row r="291" spans="2:46" ht="47.25" customHeight="1" x14ac:dyDescent="0.25">
      <c r="B291" s="15">
        <v>285</v>
      </c>
      <c r="C291" s="439">
        <v>141</v>
      </c>
      <c r="D291" s="439" t="str">
        <f t="shared" si="53"/>
        <v>2015141</v>
      </c>
      <c r="E291" s="352" t="s">
        <v>1597</v>
      </c>
      <c r="F291" s="890" t="s">
        <v>86</v>
      </c>
      <c r="G291" s="892">
        <v>860001022</v>
      </c>
      <c r="H291" s="884" t="s">
        <v>511</v>
      </c>
      <c r="I291" s="210">
        <v>1226994</v>
      </c>
      <c r="J291" s="728" t="s">
        <v>1597</v>
      </c>
      <c r="K291" s="295">
        <v>2015</v>
      </c>
      <c r="L291" s="548">
        <v>42080</v>
      </c>
      <c r="M291" s="891">
        <v>42082</v>
      </c>
      <c r="N291" s="891">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2" t="str">
        <f>IFERROR(VLOOKUP(E291,'liquidaciones '!$B$2:$C$1048576,2,0),"NO")</f>
        <v>LIQUIDADO</v>
      </c>
      <c r="AO291" s="972">
        <f>IFERROR(VLOOKUP(E291,'liquidaciones '!$B$2:$I$1048576,8,0),"")</f>
        <v>0</v>
      </c>
      <c r="AP291" s="339"/>
      <c r="AQ291" s="177" t="str">
        <f t="shared" ca="1" si="62"/>
        <v>NO</v>
      </c>
      <c r="AR291" s="177" t="s">
        <v>1511</v>
      </c>
      <c r="AS291" s="435"/>
      <c r="AT291" s="992"/>
    </row>
    <row r="292" spans="2:46" ht="47.25" customHeight="1" x14ac:dyDescent="0.25">
      <c r="B292" s="15">
        <v>286</v>
      </c>
      <c r="C292" s="439"/>
      <c r="D292" s="439" t="str">
        <f t="shared" si="53"/>
        <v>2015</v>
      </c>
      <c r="E292" s="352" t="s">
        <v>1601</v>
      </c>
      <c r="F292" s="890" t="s">
        <v>1602</v>
      </c>
      <c r="G292" s="892">
        <v>900175316</v>
      </c>
      <c r="H292" s="884" t="s">
        <v>1603</v>
      </c>
      <c r="I292" s="210">
        <v>334080000</v>
      </c>
      <c r="J292" s="702" t="s">
        <v>1980</v>
      </c>
      <c r="K292" s="295">
        <v>2015</v>
      </c>
      <c r="L292" s="548">
        <v>42082</v>
      </c>
      <c r="M292" s="891">
        <v>42104</v>
      </c>
      <c r="N292" s="891">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2" t="str">
        <f>IFERROR(VLOOKUP(E292,'liquidaciones '!$B$2:$C$1048576,2,0),"NO")</f>
        <v>EN TRÁMITE</v>
      </c>
      <c r="AO292" s="972">
        <f>IFERROR(VLOOKUP(E292,'liquidaciones '!$B$2:$I$1048576,8,0),"")</f>
        <v>0</v>
      </c>
      <c r="AP292" s="339"/>
      <c r="AQ292" s="177" t="str">
        <f t="shared" ca="1" si="62"/>
        <v>NO</v>
      </c>
      <c r="AR292" s="177" t="s">
        <v>2394</v>
      </c>
      <c r="AS292" s="435"/>
      <c r="AT292" s="992"/>
    </row>
    <row r="293" spans="2:46" ht="47.25" customHeight="1" x14ac:dyDescent="0.25">
      <c r="B293" s="15">
        <v>287</v>
      </c>
      <c r="C293" s="439">
        <v>152</v>
      </c>
      <c r="D293" s="439" t="str">
        <f t="shared" si="53"/>
        <v>2015152</v>
      </c>
      <c r="E293" s="352" t="s">
        <v>1613</v>
      </c>
      <c r="F293" s="890" t="s">
        <v>1614</v>
      </c>
      <c r="G293" s="892">
        <v>80852726</v>
      </c>
      <c r="H293" s="884" t="s">
        <v>1615</v>
      </c>
      <c r="I293" s="210">
        <v>7442000</v>
      </c>
      <c r="J293" s="702" t="s">
        <v>1744</v>
      </c>
      <c r="K293" s="295">
        <v>2015</v>
      </c>
      <c r="L293" s="548">
        <v>42082</v>
      </c>
      <c r="M293" s="891">
        <v>42111</v>
      </c>
      <c r="N293" s="891">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2" t="str">
        <f>IFERROR(VLOOKUP(E293,'liquidaciones '!$B$2:$C$1048576,2,0),"NO")</f>
        <v>LIQUIDADO</v>
      </c>
      <c r="AO293" s="972">
        <f>IFERROR(VLOOKUP(E293,'liquidaciones '!$B$2:$I$1048576,8,0),"")</f>
        <v>0</v>
      </c>
      <c r="AP293" s="339"/>
      <c r="AQ293" s="177" t="str">
        <f t="shared" ca="1" si="62"/>
        <v>NO</v>
      </c>
      <c r="AR293" s="177" t="s">
        <v>2394</v>
      </c>
      <c r="AS293" s="435"/>
      <c r="AT293" s="992"/>
    </row>
    <row r="294" spans="2:46" ht="47.25" customHeight="1" x14ac:dyDescent="0.25">
      <c r="B294" s="15">
        <v>288</v>
      </c>
      <c r="C294" s="439">
        <v>208</v>
      </c>
      <c r="D294" s="439" t="str">
        <f t="shared" si="53"/>
        <v>2015208</v>
      </c>
      <c r="E294" s="352" t="s">
        <v>1618</v>
      </c>
      <c r="F294" s="890" t="s">
        <v>144</v>
      </c>
      <c r="G294" s="892">
        <v>900450570</v>
      </c>
      <c r="H294" s="884" t="s">
        <v>1619</v>
      </c>
      <c r="I294" s="210">
        <v>379200000</v>
      </c>
      <c r="J294" s="728" t="s">
        <v>1618</v>
      </c>
      <c r="K294" s="295">
        <v>2015</v>
      </c>
      <c r="L294" s="548">
        <v>42109</v>
      </c>
      <c r="M294" s="891">
        <v>42109</v>
      </c>
      <c r="N294" s="891">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2" t="str">
        <f>IFERROR(VLOOKUP(E294,'liquidaciones '!$B$2:$C$1048576,2,0),"NO")</f>
        <v>LIQUIDADO</v>
      </c>
      <c r="AO294" s="972">
        <f>IFERROR(VLOOKUP(E294,'liquidaciones '!$B$2:$I$1048576,8,0),"")</f>
        <v>0</v>
      </c>
      <c r="AP294" s="339"/>
      <c r="AQ294" s="177" t="str">
        <f t="shared" ca="1" si="62"/>
        <v>SI</v>
      </c>
      <c r="AR294" s="177" t="s">
        <v>2605</v>
      </c>
      <c r="AS294" s="435"/>
      <c r="AT294" s="992"/>
    </row>
    <row r="295" spans="2:46" ht="47.25" customHeight="1" x14ac:dyDescent="0.25">
      <c r="B295" s="15">
        <v>289</v>
      </c>
      <c r="C295" s="439">
        <v>178</v>
      </c>
      <c r="D295" s="439" t="str">
        <f t="shared" si="53"/>
        <v>2015178</v>
      </c>
      <c r="E295" s="352" t="s">
        <v>1623</v>
      </c>
      <c r="F295" s="890" t="s">
        <v>1624</v>
      </c>
      <c r="G295" s="892" t="s">
        <v>1625</v>
      </c>
      <c r="H295" s="884" t="s">
        <v>1626</v>
      </c>
      <c r="I295" s="210">
        <v>3035520</v>
      </c>
      <c r="J295" s="702" t="s">
        <v>1742</v>
      </c>
      <c r="K295" s="295">
        <v>2015</v>
      </c>
      <c r="L295" s="548">
        <v>42100</v>
      </c>
      <c r="M295" s="891">
        <v>42121</v>
      </c>
      <c r="N295" s="891">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2" t="str">
        <f>IFERROR(VLOOKUP(E295,'liquidaciones '!$B$2:$C$1048576,2,0),"NO")</f>
        <v>LIQUIDADO</v>
      </c>
      <c r="AO295" s="972" t="str">
        <f>IFERROR(VLOOKUP(E295,'liquidaciones '!$B$2:$I$1048576,8,0),"")</f>
        <v>MANUEL ROJAS</v>
      </c>
      <c r="AP295" s="339"/>
      <c r="AQ295" s="177" t="str">
        <f t="shared" ca="1" si="62"/>
        <v>SI</v>
      </c>
      <c r="AR295" s="177" t="s">
        <v>1573</v>
      </c>
      <c r="AS295" s="435"/>
      <c r="AT295" s="992"/>
    </row>
    <row r="296" spans="2:46" ht="47.25" customHeight="1" x14ac:dyDescent="0.25">
      <c r="B296" s="15">
        <v>290</v>
      </c>
      <c r="C296" s="439">
        <v>150</v>
      </c>
      <c r="D296" s="439" t="str">
        <f t="shared" si="53"/>
        <v>2015150</v>
      </c>
      <c r="E296" s="352" t="s">
        <v>1628</v>
      </c>
      <c r="F296" s="580" t="s">
        <v>1629</v>
      </c>
      <c r="G296" s="892" t="s">
        <v>1630</v>
      </c>
      <c r="H296" s="884" t="s">
        <v>1631</v>
      </c>
      <c r="I296" s="210">
        <v>4721200</v>
      </c>
      <c r="J296" s="702" t="s">
        <v>1743</v>
      </c>
      <c r="K296" s="295">
        <v>2015</v>
      </c>
      <c r="L296" s="548">
        <v>42104</v>
      </c>
      <c r="M296" s="891">
        <v>42116</v>
      </c>
      <c r="N296" s="891">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2167</v>
      </c>
      <c r="AJ296" s="305" t="s">
        <v>1621</v>
      </c>
      <c r="AK296" s="181" t="str">
        <f t="shared" ca="1" si="60"/>
        <v>TERMINO</v>
      </c>
      <c r="AL296" s="181" t="s">
        <v>576</v>
      </c>
      <c r="AM296" s="176" t="s">
        <v>390</v>
      </c>
      <c r="AN296" s="872" t="str">
        <f>IFERROR(VLOOKUP(E296,'liquidaciones '!$B$2:$C$1048576,2,0),"NO")</f>
        <v>LIQUIDADO</v>
      </c>
      <c r="AO296" s="972">
        <f>IFERROR(VLOOKUP(E296,'liquidaciones '!$B$2:$I$1048576,8,0),"")</f>
        <v>0</v>
      </c>
      <c r="AP296" s="339"/>
      <c r="AQ296" s="177" t="str">
        <f t="shared" ca="1" si="62"/>
        <v>NO</v>
      </c>
      <c r="AR296" s="177" t="s">
        <v>1573</v>
      </c>
      <c r="AS296" s="435"/>
      <c r="AT296" s="992"/>
    </row>
    <row r="297" spans="2:46" ht="47.25" customHeight="1" x14ac:dyDescent="0.25">
      <c r="B297" s="15">
        <v>291</v>
      </c>
      <c r="C297" s="439">
        <v>176</v>
      </c>
      <c r="D297" s="439" t="str">
        <f t="shared" si="53"/>
        <v>2015176</v>
      </c>
      <c r="E297" s="352" t="s">
        <v>1633</v>
      </c>
      <c r="F297" s="890" t="s">
        <v>1025</v>
      </c>
      <c r="G297" s="892">
        <v>80199707</v>
      </c>
      <c r="H297" s="884" t="s">
        <v>1634</v>
      </c>
      <c r="I297" s="210">
        <v>28000000</v>
      </c>
      <c r="J297" s="702" t="s">
        <v>1745</v>
      </c>
      <c r="K297" s="295">
        <v>2015</v>
      </c>
      <c r="L297" s="548">
        <v>42093</v>
      </c>
      <c r="M297" s="891">
        <v>42116</v>
      </c>
      <c r="N297" s="891">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2" t="str">
        <f>IFERROR(VLOOKUP(E297,'liquidaciones '!$B$2:$C$1048576,2,0),"NO")</f>
        <v>LIQUIDADO</v>
      </c>
      <c r="AO297" s="972" t="str">
        <f>IFERROR(VLOOKUP(E297,'liquidaciones '!$B$2:$I$1048576,8,0),"")</f>
        <v>MANUEL ROJAS</v>
      </c>
      <c r="AP297" s="339"/>
      <c r="AQ297" s="177" t="str">
        <f t="shared" ca="1" si="62"/>
        <v>NO</v>
      </c>
      <c r="AR297" s="177" t="s">
        <v>2394</v>
      </c>
      <c r="AS297" s="435"/>
      <c r="AT297" s="992"/>
    </row>
    <row r="298" spans="2:46" ht="63" customHeight="1" x14ac:dyDescent="0.25">
      <c r="B298" s="15">
        <v>292</v>
      </c>
      <c r="C298" s="439">
        <v>210</v>
      </c>
      <c r="D298" s="439" t="str">
        <f t="shared" si="53"/>
        <v>2015210</v>
      </c>
      <c r="E298" s="352" t="s">
        <v>1639</v>
      </c>
      <c r="F298" s="890" t="s">
        <v>1640</v>
      </c>
      <c r="G298" s="892">
        <v>900475780</v>
      </c>
      <c r="H298" s="884" t="s">
        <v>1641</v>
      </c>
      <c r="I298" s="210">
        <v>4174276985</v>
      </c>
      <c r="J298" s="728" t="s">
        <v>1639</v>
      </c>
      <c r="K298" s="295">
        <v>2015</v>
      </c>
      <c r="L298" s="548">
        <v>42117</v>
      </c>
      <c r="M298" s="891">
        <v>42117</v>
      </c>
      <c r="N298" s="891">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2" t="str">
        <f>IFERROR(VLOOKUP(E298,'liquidaciones '!$B$2:$C$1048576,2,0),"NO")</f>
        <v>LIQUIDADO</v>
      </c>
      <c r="AO298" s="972">
        <f>IFERROR(VLOOKUP(E298,'liquidaciones '!$B$2:$I$1048576,8,0),"")</f>
        <v>0</v>
      </c>
      <c r="AP298" s="339"/>
      <c r="AQ298" s="177" t="str">
        <f t="shared" ca="1" si="62"/>
        <v>NO</v>
      </c>
      <c r="AR298" s="177" t="s">
        <v>1573</v>
      </c>
      <c r="AS298" s="435"/>
      <c r="AT298" s="992"/>
    </row>
    <row r="299" spans="2:46" ht="47.25" customHeight="1" x14ac:dyDescent="0.25">
      <c r="B299" s="15">
        <v>293</v>
      </c>
      <c r="C299" s="439">
        <v>175</v>
      </c>
      <c r="D299" s="439" t="str">
        <f t="shared" si="53"/>
        <v>2015175</v>
      </c>
      <c r="E299" s="892" t="s">
        <v>1642</v>
      </c>
      <c r="F299" s="890" t="s">
        <v>53</v>
      </c>
      <c r="G299" s="892">
        <v>4831</v>
      </c>
      <c r="H299" s="884" t="s">
        <v>1643</v>
      </c>
      <c r="I299" s="210">
        <v>27620000</v>
      </c>
      <c r="J299" s="702" t="s">
        <v>1756</v>
      </c>
      <c r="K299" s="295">
        <v>2015</v>
      </c>
      <c r="L299" s="548">
        <v>42109</v>
      </c>
      <c r="M299" s="891">
        <v>42137</v>
      </c>
      <c r="N299" s="891">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2" t="str">
        <f>IFERROR(VLOOKUP(E299,'liquidaciones '!$B$2:$C$1048576,2,0),"NO")</f>
        <v>LIQUIDADO</v>
      </c>
      <c r="AO299" s="972">
        <f>IFERROR(VLOOKUP(E299,'liquidaciones '!$B$2:$I$1048576,8,0),"")</f>
        <v>0</v>
      </c>
      <c r="AP299" s="339"/>
      <c r="AQ299" s="177" t="str">
        <f t="shared" ca="1" si="62"/>
        <v>SI</v>
      </c>
      <c r="AR299" s="177" t="s">
        <v>2394</v>
      </c>
      <c r="AS299" s="435"/>
      <c r="AT299" s="992"/>
    </row>
    <row r="300" spans="2:46" ht="47.25" customHeight="1" x14ac:dyDescent="0.25">
      <c r="B300" s="15">
        <v>294</v>
      </c>
      <c r="C300" s="439">
        <v>168</v>
      </c>
      <c r="D300" s="439" t="str">
        <f t="shared" si="53"/>
        <v>2015168</v>
      </c>
      <c r="E300" s="892" t="s">
        <v>1746</v>
      </c>
      <c r="F300" s="890" t="s">
        <v>284</v>
      </c>
      <c r="G300" s="892">
        <v>830055842</v>
      </c>
      <c r="H300" s="884" t="s">
        <v>1774</v>
      </c>
      <c r="I300" s="210">
        <v>33500000</v>
      </c>
      <c r="J300" s="702" t="s">
        <v>1747</v>
      </c>
      <c r="K300" s="295">
        <v>2015</v>
      </c>
      <c r="L300" s="548">
        <v>42124</v>
      </c>
      <c r="M300" s="891">
        <v>42130</v>
      </c>
      <c r="N300" s="891">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2" t="str">
        <f>IFERROR(VLOOKUP(E300,'liquidaciones '!$B$2:$C$1048576,2,0),"NO")</f>
        <v>LIQUIDADO</v>
      </c>
      <c r="AO300" s="972">
        <f>IFERROR(VLOOKUP(E300,'liquidaciones '!$B$2:$I$1048576,8,0),"")</f>
        <v>0</v>
      </c>
      <c r="AP300" s="339"/>
      <c r="AQ300" s="177" t="str">
        <f t="shared" ca="1" si="62"/>
        <v>SI</v>
      </c>
      <c r="AR300" s="177" t="s">
        <v>1511</v>
      </c>
      <c r="AS300" s="435"/>
      <c r="AT300" s="992"/>
    </row>
    <row r="301" spans="2:46" ht="47.25" customHeight="1" x14ac:dyDescent="0.25">
      <c r="B301" s="15">
        <v>295</v>
      </c>
      <c r="C301" s="439">
        <v>277</v>
      </c>
      <c r="D301" s="439" t="str">
        <f t="shared" si="53"/>
        <v>2015277</v>
      </c>
      <c r="E301" s="352" t="s">
        <v>1751</v>
      </c>
      <c r="F301" s="890" t="s">
        <v>1752</v>
      </c>
      <c r="G301" s="892" t="s">
        <v>1775</v>
      </c>
      <c r="H301" s="884" t="s">
        <v>1776</v>
      </c>
      <c r="I301" s="210">
        <v>12975945</v>
      </c>
      <c r="J301" s="702" t="s">
        <v>1750</v>
      </c>
      <c r="K301" s="295">
        <v>2015</v>
      </c>
      <c r="L301" s="548">
        <v>42117</v>
      </c>
      <c r="M301" s="891">
        <v>42135</v>
      </c>
      <c r="N301" s="891">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2" t="str">
        <f>IFERROR(VLOOKUP(E301,'liquidaciones '!$B$2:$C$1048576,2,0),"NO")</f>
        <v>LIQUIDADO</v>
      </c>
      <c r="AO301" s="972">
        <f>IFERROR(VLOOKUP(E301,'liquidaciones '!$B$2:$I$1048576,8,0),"")</f>
        <v>0</v>
      </c>
      <c r="AP301" s="339"/>
      <c r="AQ301" s="177" t="str">
        <f t="shared" ca="1" si="62"/>
        <v>NO</v>
      </c>
      <c r="AR301" s="177" t="s">
        <v>1995</v>
      </c>
      <c r="AS301" s="435"/>
      <c r="AT301" s="992"/>
    </row>
    <row r="302" spans="2:46" ht="63" customHeight="1" x14ac:dyDescent="0.25">
      <c r="B302" s="15">
        <v>296</v>
      </c>
      <c r="C302" s="439">
        <v>177</v>
      </c>
      <c r="D302" s="439" t="str">
        <f t="shared" si="53"/>
        <v>2015177</v>
      </c>
      <c r="E302" s="352" t="s">
        <v>1758</v>
      </c>
      <c r="F302" s="890" t="s">
        <v>1759</v>
      </c>
      <c r="G302" s="892" t="s">
        <v>1760</v>
      </c>
      <c r="H302" s="884" t="s">
        <v>1761</v>
      </c>
      <c r="I302" s="210">
        <v>11000000</v>
      </c>
      <c r="J302" s="702" t="s">
        <v>1757</v>
      </c>
      <c r="K302" s="295">
        <v>2015</v>
      </c>
      <c r="L302" s="548">
        <v>42109</v>
      </c>
      <c r="M302" s="891">
        <v>42135</v>
      </c>
      <c r="N302" s="891">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09" t="s">
        <v>1871</v>
      </c>
      <c r="Y302" s="42">
        <f t="shared" si="56"/>
        <v>0.68053581818181819</v>
      </c>
      <c r="Z302" s="42">
        <f t="shared" ca="1" si="57"/>
        <v>1</v>
      </c>
      <c r="AA302" s="43">
        <f t="shared" ca="1" si="58"/>
        <v>0.31946418181818181</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2" t="str">
        <f>IFERROR(VLOOKUP(E302,'liquidaciones '!$B$2:$C$1048576,2,0),"NO")</f>
        <v>LIQUIDADO</v>
      </c>
      <c r="AO302" s="972" t="str">
        <f>IFERROR(VLOOKUP(E302,'liquidaciones '!$B$2:$I$1048576,8,0),"")</f>
        <v>CLAUDIA VANEGAS</v>
      </c>
      <c r="AP302" s="339"/>
      <c r="AQ302" s="177" t="str">
        <f t="shared" ca="1" si="62"/>
        <v>SI</v>
      </c>
      <c r="AR302" s="177" t="s">
        <v>1573</v>
      </c>
      <c r="AS302" s="435"/>
      <c r="AT302" s="992"/>
    </row>
    <row r="303" spans="2:46" ht="47.25" customHeight="1" x14ac:dyDescent="0.25">
      <c r="B303" s="15">
        <v>297</v>
      </c>
      <c r="C303" s="439">
        <v>55</v>
      </c>
      <c r="D303" s="439" t="str">
        <f t="shared" si="53"/>
        <v>201555</v>
      </c>
      <c r="E303" s="892" t="s">
        <v>1764</v>
      </c>
      <c r="F303" s="890" t="s">
        <v>290</v>
      </c>
      <c r="G303" s="892" t="s">
        <v>1765</v>
      </c>
      <c r="H303" s="884" t="s">
        <v>1766</v>
      </c>
      <c r="I303" s="210">
        <v>10514762</v>
      </c>
      <c r="J303" s="702" t="s">
        <v>1763</v>
      </c>
      <c r="K303" s="295">
        <v>2015</v>
      </c>
      <c r="L303" s="548">
        <v>42108</v>
      </c>
      <c r="M303" s="891">
        <v>42117</v>
      </c>
      <c r="N303" s="891">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2" t="str">
        <f>IFERROR(VLOOKUP(E303,'liquidaciones '!$B$2:$C$1048576,2,0),"NO")</f>
        <v>LIQUIDADO</v>
      </c>
      <c r="AO303" s="972">
        <f>IFERROR(VLOOKUP(E303,'liquidaciones '!$B$2:$I$1048576,8,0),"")</f>
        <v>0</v>
      </c>
      <c r="AP303" s="339"/>
      <c r="AQ303" s="177" t="str">
        <f t="shared" ca="1" si="62"/>
        <v>NO</v>
      </c>
      <c r="AR303" s="177" t="s">
        <v>1995</v>
      </c>
      <c r="AS303" s="435"/>
      <c r="AT303" s="992"/>
    </row>
    <row r="304" spans="2:46" ht="47.25" customHeight="1" x14ac:dyDescent="0.25">
      <c r="B304" s="15">
        <v>298</v>
      </c>
      <c r="C304" s="439">
        <v>172</v>
      </c>
      <c r="D304" s="439" t="str">
        <f t="shared" si="53"/>
        <v>2015172</v>
      </c>
      <c r="E304" s="892" t="s">
        <v>1979</v>
      </c>
      <c r="F304" s="890" t="s">
        <v>272</v>
      </c>
      <c r="G304" s="133">
        <v>900197284</v>
      </c>
      <c r="H304" s="884" t="s">
        <v>1847</v>
      </c>
      <c r="I304" s="210">
        <v>5874000</v>
      </c>
      <c r="J304" s="702" t="s">
        <v>1767</v>
      </c>
      <c r="K304" s="295">
        <v>2015</v>
      </c>
      <c r="L304" s="548">
        <v>42130</v>
      </c>
      <c r="M304" s="891">
        <v>42149</v>
      </c>
      <c r="N304" s="891">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2" t="str">
        <f>IFERROR(VLOOKUP(E304,'liquidaciones '!$B$2:$C$1048576,2,0),"NO")</f>
        <v>DEVUELTO</v>
      </c>
      <c r="AO304" s="972" t="str">
        <f>IFERROR(VLOOKUP(E304,'liquidaciones '!$B$2:$I$1048576,8,0),"")</f>
        <v>CLAUDIA VANEGAS</v>
      </c>
      <c r="AP304" s="339"/>
      <c r="AQ304" s="177" t="str">
        <f t="shared" ca="1" si="62"/>
        <v>SI</v>
      </c>
      <c r="AR304" s="177" t="s">
        <v>1573</v>
      </c>
      <c r="AS304" s="435"/>
      <c r="AT304" s="992"/>
    </row>
    <row r="305" spans="2:46" ht="47.25" customHeight="1" x14ac:dyDescent="0.25">
      <c r="B305" s="15">
        <v>299</v>
      </c>
      <c r="C305" s="439">
        <v>171</v>
      </c>
      <c r="D305" s="439" t="str">
        <f t="shared" si="53"/>
        <v>2015171</v>
      </c>
      <c r="E305" s="352" t="s">
        <v>1859</v>
      </c>
      <c r="F305" s="890" t="s">
        <v>1860</v>
      </c>
      <c r="G305" s="892">
        <v>860025639</v>
      </c>
      <c r="H305" s="884" t="s">
        <v>1861</v>
      </c>
      <c r="I305" s="210">
        <v>14210000</v>
      </c>
      <c r="J305" s="728" t="s">
        <v>1859</v>
      </c>
      <c r="K305" s="295">
        <v>2015</v>
      </c>
      <c r="L305" s="548">
        <v>42132</v>
      </c>
      <c r="M305" s="891">
        <v>42149</v>
      </c>
      <c r="N305" s="891">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2" t="str">
        <f>IFERROR(VLOOKUP(E305,'liquidaciones '!$B$2:$C$1048576,2,0),"NO")</f>
        <v>LIQUIDADO</v>
      </c>
      <c r="AO305" s="972">
        <f>IFERROR(VLOOKUP(E305,'liquidaciones '!$B$2:$I$1048576,8,0),"")</f>
        <v>0</v>
      </c>
      <c r="AP305" s="339"/>
      <c r="AQ305" s="177" t="str">
        <f t="shared" ca="1" si="62"/>
        <v>NO</v>
      </c>
      <c r="AR305" s="177" t="s">
        <v>1511</v>
      </c>
      <c r="AS305" s="435"/>
      <c r="AT305" s="992"/>
    </row>
    <row r="306" spans="2:46" ht="47.25" customHeight="1" x14ac:dyDescent="0.25">
      <c r="B306" s="15">
        <v>300</v>
      </c>
      <c r="C306" s="439">
        <v>123</v>
      </c>
      <c r="D306" s="439" t="str">
        <f t="shared" si="53"/>
        <v>2015123</v>
      </c>
      <c r="E306" s="892" t="s">
        <v>1862</v>
      </c>
      <c r="F306" s="890" t="s">
        <v>203</v>
      </c>
      <c r="G306" s="892">
        <v>860049921</v>
      </c>
      <c r="H306" s="884" t="s">
        <v>1863</v>
      </c>
      <c r="I306" s="210">
        <v>7714000</v>
      </c>
      <c r="J306" s="702" t="s">
        <v>1748</v>
      </c>
      <c r="K306" s="295">
        <v>2015</v>
      </c>
      <c r="L306" s="548">
        <v>42132</v>
      </c>
      <c r="M306" s="891">
        <v>42144</v>
      </c>
      <c r="N306" s="891">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2166</v>
      </c>
      <c r="AJ306" s="305" t="s">
        <v>1870</v>
      </c>
      <c r="AK306" s="181" t="str">
        <f t="shared" ca="1" si="60"/>
        <v>TERMINO</v>
      </c>
      <c r="AL306" s="181" t="s">
        <v>582</v>
      </c>
      <c r="AM306" s="176" t="s">
        <v>390</v>
      </c>
      <c r="AN306" s="872" t="str">
        <f>IFERROR(VLOOKUP(E306,'liquidaciones '!$B$2:$C$1048576,2,0),"NO")</f>
        <v>LIQUIDADO</v>
      </c>
      <c r="AO306" s="972">
        <f>IFERROR(VLOOKUP(E306,'liquidaciones '!$B$2:$I$1048576,8,0),"")</f>
        <v>0</v>
      </c>
      <c r="AP306" s="339"/>
      <c r="AQ306" s="177" t="str">
        <f t="shared" ca="1" si="62"/>
        <v>NO</v>
      </c>
      <c r="AR306" s="177" t="s">
        <v>2394</v>
      </c>
      <c r="AS306" s="435"/>
      <c r="AT306" s="992"/>
    </row>
    <row r="307" spans="2:46" ht="47.25" customHeight="1" x14ac:dyDescent="0.25">
      <c r="B307" s="15">
        <v>301</v>
      </c>
      <c r="C307" s="439">
        <v>54</v>
      </c>
      <c r="D307" s="439" t="str">
        <f t="shared" si="53"/>
        <v>201554</v>
      </c>
      <c r="E307" s="352" t="s">
        <v>1864</v>
      </c>
      <c r="F307" s="890" t="s">
        <v>1865</v>
      </c>
      <c r="G307" s="892">
        <v>830124848</v>
      </c>
      <c r="H307" s="884" t="s">
        <v>1866</v>
      </c>
      <c r="I307" s="210">
        <v>60000000</v>
      </c>
      <c r="J307" s="702" t="s">
        <v>1768</v>
      </c>
      <c r="K307" s="295">
        <v>2015</v>
      </c>
      <c r="L307" s="548">
        <v>42128</v>
      </c>
      <c r="M307" s="891">
        <v>42156</v>
      </c>
      <c r="N307" s="891">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2" t="str">
        <f>IFERROR(VLOOKUP(E307,'liquidaciones '!$B$2:$C$1048576,2,0),"NO")</f>
        <v>LIQUIDADO</v>
      </c>
      <c r="AO307" s="972">
        <f>IFERROR(VLOOKUP(E307,'liquidaciones '!$B$2:$I$1048576,8,0),"")</f>
        <v>0</v>
      </c>
      <c r="AP307" s="339"/>
      <c r="AQ307" s="177" t="str">
        <f t="shared" ca="1" si="62"/>
        <v>SI</v>
      </c>
      <c r="AR307" s="177" t="s">
        <v>2609</v>
      </c>
      <c r="AS307" s="435"/>
      <c r="AT307" s="992"/>
    </row>
    <row r="308" spans="2:46" ht="47.25" customHeight="1" x14ac:dyDescent="0.25">
      <c r="B308" s="15">
        <v>302</v>
      </c>
      <c r="C308" s="439">
        <v>149</v>
      </c>
      <c r="D308" s="439" t="str">
        <f t="shared" si="53"/>
        <v>2015149</v>
      </c>
      <c r="E308" s="352" t="s">
        <v>1872</v>
      </c>
      <c r="F308" s="890" t="s">
        <v>1873</v>
      </c>
      <c r="G308" s="892">
        <v>900587953</v>
      </c>
      <c r="H308" s="884" t="s">
        <v>1874</v>
      </c>
      <c r="I308" s="210">
        <v>2000000</v>
      </c>
      <c r="J308" s="702" t="s">
        <v>1753</v>
      </c>
      <c r="K308" s="295">
        <v>2015</v>
      </c>
      <c r="L308" s="548">
        <v>42135</v>
      </c>
      <c r="M308" s="891">
        <v>42150</v>
      </c>
      <c r="N308" s="891">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2" t="str">
        <f>IFERROR(VLOOKUP(E308,'liquidaciones '!$B$2:$C$1048576,2,0),"NO")</f>
        <v>LIQUIDADO</v>
      </c>
      <c r="AO308" s="972" t="str">
        <f>IFERROR(VLOOKUP(E308,'liquidaciones '!$B$2:$I$1048576,8,0),"")</f>
        <v>GIOVANNI SUAREZ</v>
      </c>
      <c r="AP308" s="339"/>
      <c r="AQ308" s="177" t="str">
        <f t="shared" ca="1" si="62"/>
        <v>NO</v>
      </c>
      <c r="AR308" s="177" t="s">
        <v>2394</v>
      </c>
      <c r="AS308" s="435"/>
      <c r="AT308" s="992"/>
    </row>
    <row r="309" spans="2:46" ht="62.25" customHeight="1" x14ac:dyDescent="0.25">
      <c r="B309" s="15">
        <v>303</v>
      </c>
      <c r="C309" s="439">
        <v>174</v>
      </c>
      <c r="D309" s="439" t="str">
        <f t="shared" si="53"/>
        <v>2015174</v>
      </c>
      <c r="E309" s="352" t="s">
        <v>1878</v>
      </c>
      <c r="F309" s="890" t="s">
        <v>1879</v>
      </c>
      <c r="G309" s="892">
        <v>830101476</v>
      </c>
      <c r="H309" s="884" t="s">
        <v>1880</v>
      </c>
      <c r="I309" s="210">
        <v>566000000</v>
      </c>
      <c r="J309" s="702" t="s">
        <v>1769</v>
      </c>
      <c r="K309" s="295">
        <v>2015</v>
      </c>
      <c r="L309" s="548">
        <v>42136</v>
      </c>
      <c r="M309" s="891">
        <v>42141</v>
      </c>
      <c r="N309" s="891">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2" t="str">
        <f>IFERROR(VLOOKUP(E309,'liquidaciones '!$B$2:$C$1048576,2,0),"NO")</f>
        <v>DEVUELTO</v>
      </c>
      <c r="AO309" s="972" t="str">
        <f>IFERROR(VLOOKUP(E309,'liquidaciones '!$B$2:$I$1048576,8,0),"")</f>
        <v>JULIETH ANGARITA</v>
      </c>
      <c r="AP309" s="339"/>
      <c r="AQ309" s="177" t="str">
        <f t="shared" ca="1" si="62"/>
        <v>SI</v>
      </c>
      <c r="AR309" s="177" t="s">
        <v>981</v>
      </c>
      <c r="AS309" s="435"/>
      <c r="AT309" s="992"/>
    </row>
    <row r="310" spans="2:46" ht="47.25" customHeight="1" x14ac:dyDescent="0.25">
      <c r="B310" s="15">
        <v>304</v>
      </c>
      <c r="C310" s="439">
        <v>274</v>
      </c>
      <c r="D310" s="439" t="str">
        <f t="shared" si="53"/>
        <v>2015274</v>
      </c>
      <c r="E310" s="892" t="s">
        <v>1883</v>
      </c>
      <c r="F310" s="890" t="s">
        <v>1884</v>
      </c>
      <c r="G310" s="892">
        <v>1085916707</v>
      </c>
      <c r="H310" s="884" t="s">
        <v>1885</v>
      </c>
      <c r="I310" s="210">
        <v>18000000</v>
      </c>
      <c r="J310" s="728" t="s">
        <v>1883</v>
      </c>
      <c r="K310" s="295">
        <v>2015</v>
      </c>
      <c r="L310" s="548">
        <v>42130</v>
      </c>
      <c r="M310" s="891">
        <v>42137</v>
      </c>
      <c r="N310" s="891">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2" t="str">
        <f>IFERROR(VLOOKUP(E310,'liquidaciones '!$B$2:$C$1048576,2,0),"NO")</f>
        <v>LIQUIDADO</v>
      </c>
      <c r="AO310" s="972">
        <f>IFERROR(VLOOKUP(E310,'liquidaciones '!$B$2:$I$1048576,8,0),"")</f>
        <v>0</v>
      </c>
      <c r="AP310" s="339"/>
      <c r="AQ310" s="177" t="str">
        <f t="shared" ca="1" si="62"/>
        <v>NO</v>
      </c>
      <c r="AR310" s="177" t="s">
        <v>1511</v>
      </c>
      <c r="AS310" s="435"/>
      <c r="AT310" s="992"/>
    </row>
    <row r="311" spans="2:46" ht="47.25" customHeight="1" x14ac:dyDescent="0.25">
      <c r="B311" s="15">
        <v>305</v>
      </c>
      <c r="C311" s="439">
        <v>161</v>
      </c>
      <c r="D311" s="439" t="str">
        <f t="shared" si="53"/>
        <v>2015161</v>
      </c>
      <c r="E311" s="892" t="s">
        <v>1891</v>
      </c>
      <c r="F311" s="890" t="s">
        <v>1112</v>
      </c>
      <c r="G311" s="20">
        <v>830005370</v>
      </c>
      <c r="H311" s="884" t="s">
        <v>1892</v>
      </c>
      <c r="I311" s="210">
        <v>1291938453</v>
      </c>
      <c r="J311" s="728" t="s">
        <v>1891</v>
      </c>
      <c r="K311" s="295">
        <v>2015</v>
      </c>
      <c r="L311" s="548">
        <v>42135</v>
      </c>
      <c r="M311" s="891">
        <v>42139</v>
      </c>
      <c r="N311" s="891">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2" t="str">
        <f>IFERROR(VLOOKUP(E311,'liquidaciones '!$B$2:$C$1048576,2,0),"NO")</f>
        <v>LIQUIDADO</v>
      </c>
      <c r="AO311" s="972" t="str">
        <f>IFERROR(VLOOKUP(E311,'liquidaciones '!$B$2:$I$1048576,8,0),"")</f>
        <v>DORA PINILLA</v>
      </c>
      <c r="AP311" s="339"/>
      <c r="AQ311" s="177" t="str">
        <f t="shared" ca="1" si="62"/>
        <v>NO</v>
      </c>
      <c r="AR311" s="177" t="s">
        <v>981</v>
      </c>
      <c r="AS311" s="435"/>
      <c r="AT311" s="992"/>
    </row>
    <row r="312" spans="2:46" ht="47.25" customHeight="1" x14ac:dyDescent="0.25">
      <c r="B312" s="15">
        <v>306</v>
      </c>
      <c r="C312" s="439">
        <v>142</v>
      </c>
      <c r="D312" s="439" t="str">
        <f t="shared" si="53"/>
        <v>2015142</v>
      </c>
      <c r="E312" s="892" t="s">
        <v>1895</v>
      </c>
      <c r="F312" s="890" t="s">
        <v>1896</v>
      </c>
      <c r="G312" s="892">
        <v>830067096</v>
      </c>
      <c r="H312" s="884" t="s">
        <v>1897</v>
      </c>
      <c r="I312" s="210">
        <v>7800000</v>
      </c>
      <c r="J312" s="728" t="s">
        <v>1895</v>
      </c>
      <c r="K312" s="295">
        <v>2015</v>
      </c>
      <c r="L312" s="548">
        <v>42139</v>
      </c>
      <c r="M312" s="891">
        <v>42145</v>
      </c>
      <c r="N312" s="891">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2" t="str">
        <f>IFERROR(VLOOKUP(E312,'liquidaciones '!$B$2:$C$1048576,2,0),"NO")</f>
        <v>LIQUIDADO</v>
      </c>
      <c r="AO312" s="972">
        <f>IFERROR(VLOOKUP(E312,'liquidaciones '!$B$2:$I$1048576,8,0),"")</f>
        <v>0</v>
      </c>
      <c r="AP312" s="339"/>
      <c r="AQ312" s="177" t="str">
        <f t="shared" ca="1" si="62"/>
        <v>SI</v>
      </c>
      <c r="AR312" s="177" t="s">
        <v>1511</v>
      </c>
      <c r="AS312" s="435"/>
      <c r="AT312" s="992"/>
    </row>
    <row r="313" spans="2:46" ht="47.25" customHeight="1" x14ac:dyDescent="0.25">
      <c r="B313" s="15">
        <v>307</v>
      </c>
      <c r="C313" s="439">
        <v>154</v>
      </c>
      <c r="D313" s="439" t="str">
        <f t="shared" si="53"/>
        <v>2015154</v>
      </c>
      <c r="E313" s="352" t="s">
        <v>1908</v>
      </c>
      <c r="F313" s="890" t="s">
        <v>1909</v>
      </c>
      <c r="G313" s="892" t="s">
        <v>1911</v>
      </c>
      <c r="H313" s="884" t="s">
        <v>1910</v>
      </c>
      <c r="I313" s="210">
        <v>28000000</v>
      </c>
      <c r="J313" s="728" t="s">
        <v>1908</v>
      </c>
      <c r="K313" s="295">
        <v>2015</v>
      </c>
      <c r="L313" s="548">
        <v>42144</v>
      </c>
      <c r="M313" s="891">
        <v>42180</v>
      </c>
      <c r="N313" s="891">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2" t="str">
        <f>IFERROR(VLOOKUP(E313,'liquidaciones '!$B$2:$C$1048576,2,0),"NO")</f>
        <v>LIQUIDADO</v>
      </c>
      <c r="AO313" s="972" t="str">
        <f>IFERROR(VLOOKUP(E313,'liquidaciones '!$B$2:$I$1048576,8,0),"")</f>
        <v>GIOVANNI SUAREZ</v>
      </c>
      <c r="AP313" s="339"/>
      <c r="AQ313" s="177" t="str">
        <f t="shared" ca="1" si="62"/>
        <v>SI</v>
      </c>
      <c r="AR313" s="177" t="s">
        <v>1573</v>
      </c>
      <c r="AS313" s="435"/>
      <c r="AT313" s="992"/>
    </row>
    <row r="314" spans="2:46" ht="47.25" customHeight="1" x14ac:dyDescent="0.25">
      <c r="B314" s="15">
        <v>308</v>
      </c>
      <c r="C314" s="439">
        <v>75</v>
      </c>
      <c r="D314" s="439" t="str">
        <f t="shared" si="53"/>
        <v>201575</v>
      </c>
      <c r="E314" s="892" t="s">
        <v>1952</v>
      </c>
      <c r="F314" s="890" t="s">
        <v>1953</v>
      </c>
      <c r="G314" s="892" t="s">
        <v>1954</v>
      </c>
      <c r="H314" s="884" t="s">
        <v>1781</v>
      </c>
      <c r="I314" s="210">
        <v>8086410</v>
      </c>
      <c r="J314" s="705" t="s">
        <v>1882</v>
      </c>
      <c r="K314" s="295">
        <v>2015</v>
      </c>
      <c r="L314" s="548">
        <v>42152</v>
      </c>
      <c r="M314" s="891">
        <v>42165</v>
      </c>
      <c r="N314" s="891">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2" t="str">
        <f>IFERROR(VLOOKUP(E314,'liquidaciones '!$B$2:$C$1048576,2,0),"NO")</f>
        <v>EN TRÁMITE</v>
      </c>
      <c r="AO314" s="972">
        <f>IFERROR(VLOOKUP(E314,'liquidaciones '!$B$2:$I$1048576,8,0),"")</f>
        <v>0</v>
      </c>
      <c r="AP314" s="339"/>
      <c r="AQ314" s="177" t="str">
        <f t="shared" ca="1" si="62"/>
        <v>NO</v>
      </c>
      <c r="AR314" s="177" t="s">
        <v>1995</v>
      </c>
      <c r="AS314" s="435"/>
      <c r="AT314" s="992"/>
    </row>
    <row r="315" spans="2:46" ht="47.25" customHeight="1" x14ac:dyDescent="0.25">
      <c r="B315" s="15">
        <v>309</v>
      </c>
      <c r="C315" s="439">
        <v>166</v>
      </c>
      <c r="D315" s="439" t="str">
        <f t="shared" si="53"/>
        <v>2015166</v>
      </c>
      <c r="E315" s="892" t="s">
        <v>1957</v>
      </c>
      <c r="F315" s="890" t="s">
        <v>1958</v>
      </c>
      <c r="G315" s="892" t="s">
        <v>1959</v>
      </c>
      <c r="H315" s="884" t="s">
        <v>1960</v>
      </c>
      <c r="I315" s="210">
        <v>5000000</v>
      </c>
      <c r="J315" s="704" t="s">
        <v>1846</v>
      </c>
      <c r="K315" s="295">
        <v>2015</v>
      </c>
      <c r="L315" s="548">
        <v>42149</v>
      </c>
      <c r="M315" s="891">
        <v>42160</v>
      </c>
      <c r="N315" s="891">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2" t="str">
        <f>IFERROR(VLOOKUP(E315,'liquidaciones '!$B$2:$C$1048576,2,0),"NO")</f>
        <v>LIQUIDADO</v>
      </c>
      <c r="AO315" s="972">
        <f>IFERROR(VLOOKUP(E315,'liquidaciones '!$B$2:$I$1048576,8,0),"")</f>
        <v>0</v>
      </c>
      <c r="AP315" s="339"/>
      <c r="AQ315" s="177" t="str">
        <f t="shared" ca="1" si="62"/>
        <v>NO</v>
      </c>
      <c r="AR315" s="177" t="s">
        <v>1573</v>
      </c>
      <c r="AS315" s="435"/>
      <c r="AT315" s="992"/>
    </row>
    <row r="316" spans="2:46" ht="47.25" customHeight="1" x14ac:dyDescent="0.25">
      <c r="B316" s="15">
        <v>310</v>
      </c>
      <c r="C316" s="439">
        <v>170</v>
      </c>
      <c r="D316" s="439" t="str">
        <f t="shared" si="53"/>
        <v>2015170</v>
      </c>
      <c r="E316" s="892" t="s">
        <v>1964</v>
      </c>
      <c r="F316" s="890" t="s">
        <v>38</v>
      </c>
      <c r="G316" s="892">
        <v>830053669</v>
      </c>
      <c r="H316" s="884" t="s">
        <v>1965</v>
      </c>
      <c r="I316" s="210">
        <v>30552000</v>
      </c>
      <c r="J316" s="705" t="s">
        <v>1749</v>
      </c>
      <c r="K316" s="295">
        <v>2015</v>
      </c>
      <c r="L316" s="548">
        <v>42157</v>
      </c>
      <c r="M316" s="891">
        <v>42187</v>
      </c>
      <c r="N316" s="891">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2" t="str">
        <f>IFERROR(VLOOKUP(E316,'liquidaciones '!$B$2:$C$1048576,2,0),"NO")</f>
        <v>LIQUIDADO</v>
      </c>
      <c r="AO316" s="972">
        <f>IFERROR(VLOOKUP(E316,'liquidaciones '!$B$2:$I$1048576,8,0),"")</f>
        <v>0</v>
      </c>
      <c r="AP316" s="339"/>
      <c r="AQ316" s="177" t="str">
        <f t="shared" ca="1" si="62"/>
        <v>SI</v>
      </c>
      <c r="AR316" s="177" t="s">
        <v>981</v>
      </c>
      <c r="AS316" s="435"/>
      <c r="AT316" s="992"/>
    </row>
    <row r="317" spans="2:46" ht="47.25" customHeight="1" x14ac:dyDescent="0.25">
      <c r="B317" s="15">
        <v>311</v>
      </c>
      <c r="C317" s="439">
        <v>298</v>
      </c>
      <c r="D317" s="439" t="str">
        <f t="shared" si="53"/>
        <v>2015298</v>
      </c>
      <c r="E317" s="892" t="s">
        <v>1967</v>
      </c>
      <c r="F317" s="890" t="s">
        <v>1968</v>
      </c>
      <c r="G317" s="892">
        <v>51647190</v>
      </c>
      <c r="H317" s="884" t="s">
        <v>1969</v>
      </c>
      <c r="I317" s="210">
        <v>40800000</v>
      </c>
      <c r="J317" s="704" t="s">
        <v>1967</v>
      </c>
      <c r="K317" s="295">
        <v>2015</v>
      </c>
      <c r="L317" s="548">
        <v>42158</v>
      </c>
      <c r="M317" s="891">
        <v>42160</v>
      </c>
      <c r="N317" s="891">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tr">
        <f>VLOOKUP(C317,[2]Hoja4!$A$2:$E$116,5,0)</f>
        <v>PRESTACION DE SERVICIOS1</v>
      </c>
      <c r="AE317" s="173" t="s">
        <v>1257</v>
      </c>
      <c r="AF317" s="281" t="s">
        <v>1971</v>
      </c>
      <c r="AG317" s="173" t="s">
        <v>1430</v>
      </c>
      <c r="AH317" s="281" t="s">
        <v>563</v>
      </c>
      <c r="AI317" s="305" t="s">
        <v>2166</v>
      </c>
      <c r="AJ317" s="305" t="s">
        <v>1870</v>
      </c>
      <c r="AK317" s="181" t="str">
        <f t="shared" ca="1" si="60"/>
        <v>TERMINO</v>
      </c>
      <c r="AL317" s="310" t="s">
        <v>582</v>
      </c>
      <c r="AM317" s="176" t="s">
        <v>391</v>
      </c>
      <c r="AN317" s="872" t="str">
        <f>IFERROR(VLOOKUP(E317,'liquidaciones '!$B$2:$C$1048576,2,0),"NO")</f>
        <v>LIQUIDADO</v>
      </c>
      <c r="AO317" s="972">
        <f>IFERROR(VLOOKUP(E317,'liquidaciones '!$B$2:$I$1048576,8,0),"")</f>
        <v>0</v>
      </c>
      <c r="AP317" s="339"/>
      <c r="AQ317" s="177" t="str">
        <f t="shared" ca="1" si="62"/>
        <v>NO</v>
      </c>
      <c r="AR317" s="177" t="s">
        <v>2394</v>
      </c>
      <c r="AS317" s="435"/>
      <c r="AT317" s="992"/>
    </row>
    <row r="318" spans="2:46" ht="47.25" customHeight="1" x14ac:dyDescent="0.25">
      <c r="B318" s="15">
        <v>312</v>
      </c>
      <c r="C318" s="439">
        <v>122</v>
      </c>
      <c r="D318" s="439" t="str">
        <f t="shared" si="53"/>
        <v>2015122</v>
      </c>
      <c r="E318" s="892" t="s">
        <v>1973</v>
      </c>
      <c r="F318" s="890" t="s">
        <v>1974</v>
      </c>
      <c r="G318" s="892">
        <v>830040274</v>
      </c>
      <c r="H318" s="884" t="s">
        <v>1975</v>
      </c>
      <c r="I318" s="210">
        <v>2365972</v>
      </c>
      <c r="J318" s="728" t="s">
        <v>1973</v>
      </c>
      <c r="K318" s="295">
        <v>2015</v>
      </c>
      <c r="L318" s="548">
        <v>42158</v>
      </c>
      <c r="M318" s="891">
        <v>42174</v>
      </c>
      <c r="N318" s="891">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2" t="str">
        <f>IFERROR(VLOOKUP(E318,'liquidaciones '!$B$2:$C$1048576,2,0),"NO")</f>
        <v>LIQUIDADO</v>
      </c>
      <c r="AO318" s="972" t="str">
        <f>IFERROR(VLOOKUP(E318,'liquidaciones '!$B$2:$I$1048576,8,0),"")</f>
        <v>CLAUDIA VANEGAS</v>
      </c>
      <c r="AP318" s="339"/>
      <c r="AQ318" s="177" t="str">
        <f t="shared" ca="1" si="62"/>
        <v>NO</v>
      </c>
      <c r="AR318" s="177" t="s">
        <v>2394</v>
      </c>
      <c r="AS318" s="435"/>
      <c r="AT318" s="992"/>
    </row>
    <row r="319" spans="2:46" ht="47.25" customHeight="1" x14ac:dyDescent="0.25">
      <c r="B319" s="15">
        <v>313</v>
      </c>
      <c r="C319" s="439">
        <v>299</v>
      </c>
      <c r="D319" s="439" t="str">
        <f t="shared" si="53"/>
        <v>2015299</v>
      </c>
      <c r="E319" s="892" t="s">
        <v>1987</v>
      </c>
      <c r="F319" s="890" t="s">
        <v>1988</v>
      </c>
      <c r="G319" s="892">
        <v>1016042559</v>
      </c>
      <c r="H319" s="884" t="s">
        <v>1989</v>
      </c>
      <c r="I319" s="210">
        <v>12000000</v>
      </c>
      <c r="J319" s="704" t="s">
        <v>1987</v>
      </c>
      <c r="K319" s="295">
        <v>2015</v>
      </c>
      <c r="L319" s="548">
        <v>42166</v>
      </c>
      <c r="M319" s="891">
        <v>42173</v>
      </c>
      <c r="N319" s="891">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2166</v>
      </c>
      <c r="AJ319" s="305" t="s">
        <v>1870</v>
      </c>
      <c r="AK319" s="181" t="str">
        <f t="shared" ca="1" si="60"/>
        <v>TERMINO</v>
      </c>
      <c r="AL319" s="310" t="s">
        <v>582</v>
      </c>
      <c r="AM319" s="176" t="s">
        <v>391</v>
      </c>
      <c r="AN319" s="872" t="str">
        <f>IFERROR(VLOOKUP(E319,'liquidaciones '!$B$2:$C$1048576,2,0),"NO")</f>
        <v>LIQUIDADO</v>
      </c>
      <c r="AO319" s="972">
        <f>IFERROR(VLOOKUP(E319,'liquidaciones '!$B$2:$I$1048576,8,0),"")</f>
        <v>0</v>
      </c>
      <c r="AP319" s="339"/>
      <c r="AQ319" s="177" t="str">
        <f t="shared" ref="AQ319:AQ350" ca="1" si="64">IF((TODAY()-T319&lt;900),"SI","NO")</f>
        <v>NO</v>
      </c>
      <c r="AR319" s="177" t="s">
        <v>2394</v>
      </c>
      <c r="AS319" s="435"/>
      <c r="AT319" s="992"/>
    </row>
    <row r="320" spans="2:46" ht="47.25" customHeight="1" x14ac:dyDescent="0.25">
      <c r="B320" s="15">
        <v>314</v>
      </c>
      <c r="C320" s="439">
        <v>71</v>
      </c>
      <c r="D320" s="439" t="str">
        <f t="shared" si="53"/>
        <v>201571</v>
      </c>
      <c r="E320" s="892" t="s">
        <v>1990</v>
      </c>
      <c r="F320" s="890" t="s">
        <v>1991</v>
      </c>
      <c r="G320" s="892" t="s">
        <v>1992</v>
      </c>
      <c r="H320" s="884" t="s">
        <v>1993</v>
      </c>
      <c r="I320" s="210">
        <v>11167296</v>
      </c>
      <c r="J320" s="704" t="s">
        <v>1899</v>
      </c>
      <c r="K320" s="295">
        <v>2015</v>
      </c>
      <c r="L320" s="548">
        <v>42167</v>
      </c>
      <c r="M320" s="891">
        <v>42188</v>
      </c>
      <c r="N320" s="891">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09" t="s">
        <v>1548</v>
      </c>
      <c r="Y320" s="42">
        <f t="shared" si="56"/>
        <v>0</v>
      </c>
      <c r="Z320" s="42">
        <f t="shared" ca="1" si="57"/>
        <v>1</v>
      </c>
      <c r="AA320" s="43">
        <f t="shared" ca="1" si="58"/>
        <v>1</v>
      </c>
      <c r="AB320" s="202" t="str">
        <f t="shared" ca="1" si="59"/>
        <v/>
      </c>
      <c r="AC320" s="44" t="str">
        <f t="shared" si="63"/>
        <v>NO</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2" t="str">
        <f>IFERROR(VLOOKUP(E320,'liquidaciones '!$B$2:$C$1048576,2,0),"NO")</f>
        <v>LIQUIDADO</v>
      </c>
      <c r="AO320" s="972">
        <f>IFERROR(VLOOKUP(E320,'liquidaciones '!$B$2:$I$1048576,8,0),"")</f>
        <v>0</v>
      </c>
      <c r="AP320" s="339"/>
      <c r="AQ320" s="177" t="str">
        <f t="shared" ca="1" si="64"/>
        <v>NO</v>
      </c>
      <c r="AR320" s="177" t="s">
        <v>1995</v>
      </c>
      <c r="AS320" s="435"/>
      <c r="AT320" s="992"/>
    </row>
    <row r="321" spans="2:46" ht="47.25" customHeight="1" x14ac:dyDescent="0.25">
      <c r="B321" s="15">
        <v>315</v>
      </c>
      <c r="C321" s="439">
        <v>157</v>
      </c>
      <c r="D321" s="439" t="str">
        <f t="shared" si="53"/>
        <v>2015157</v>
      </c>
      <c r="E321" s="892" t="s">
        <v>1996</v>
      </c>
      <c r="F321" s="884" t="s">
        <v>1997</v>
      </c>
      <c r="G321" s="892">
        <v>860053195</v>
      </c>
      <c r="H321" s="884" t="s">
        <v>1998</v>
      </c>
      <c r="I321" s="210">
        <v>29000000</v>
      </c>
      <c r="J321" s="704" t="s">
        <v>1946</v>
      </c>
      <c r="K321" s="295">
        <v>2015</v>
      </c>
      <c r="L321" s="548">
        <v>42167</v>
      </c>
      <c r="M321" s="891">
        <v>42179</v>
      </c>
      <c r="N321" s="891">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09" t="s">
        <v>1970</v>
      </c>
      <c r="Y321" s="42">
        <f t="shared" si="56"/>
        <v>0.91362790524236026</v>
      </c>
      <c r="Z321" s="42">
        <f t="shared" ca="1" si="57"/>
        <v>1</v>
      </c>
      <c r="AA321" s="43">
        <f t="shared" ca="1" si="58"/>
        <v>8.6372094757639739E-2</v>
      </c>
      <c r="AB321" s="202" t="str">
        <f t="shared" ca="1" si="59"/>
        <v/>
      </c>
      <c r="AC321" s="44" t="str">
        <f t="shared" si="63"/>
        <v>NO</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2" t="str">
        <f>IFERROR(VLOOKUP(E321,'liquidaciones '!$B$2:$C$1048576,2,0),"NO")</f>
        <v>LIQUIDADO</v>
      </c>
      <c r="AO321" s="972" t="str">
        <f>IFERROR(VLOOKUP(E321,'liquidaciones '!$B$2:$I$1048576,8,0),"")</f>
        <v>LEIDY RIVERA</v>
      </c>
      <c r="AP321" s="339"/>
      <c r="AQ321" s="177" t="str">
        <f t="shared" ca="1" si="64"/>
        <v>SI</v>
      </c>
      <c r="AR321" s="177" t="s">
        <v>1573</v>
      </c>
      <c r="AS321" s="435"/>
      <c r="AT321" s="992"/>
    </row>
    <row r="322" spans="2:46" ht="47.25" customHeight="1" x14ac:dyDescent="0.25">
      <c r="B322" s="15">
        <v>316</v>
      </c>
      <c r="C322" s="439">
        <v>300</v>
      </c>
      <c r="D322" s="439" t="str">
        <f t="shared" si="53"/>
        <v>2015300</v>
      </c>
      <c r="E322" s="892" t="s">
        <v>1999</v>
      </c>
      <c r="F322" s="890" t="s">
        <v>2000</v>
      </c>
      <c r="G322" s="892">
        <v>1015452774</v>
      </c>
      <c r="H322" s="884" t="s">
        <v>2001</v>
      </c>
      <c r="I322" s="210">
        <v>12000000</v>
      </c>
      <c r="J322" s="728" t="s">
        <v>1999</v>
      </c>
      <c r="K322" s="295">
        <v>2015</v>
      </c>
      <c r="L322" s="548">
        <v>42171</v>
      </c>
      <c r="M322" s="891">
        <v>42174</v>
      </c>
      <c r="N322" s="891">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2166</v>
      </c>
      <c r="AJ322" s="305" t="s">
        <v>1870</v>
      </c>
      <c r="AK322" s="181" t="str">
        <f t="shared" ca="1" si="60"/>
        <v>TERMINO</v>
      </c>
      <c r="AL322" s="310" t="s">
        <v>582</v>
      </c>
      <c r="AM322" s="176" t="s">
        <v>391</v>
      </c>
      <c r="AN322" s="872" t="str">
        <f>IFERROR(VLOOKUP(E322,'liquidaciones '!$B$2:$C$1048576,2,0),"NO")</f>
        <v>LIQUIDADO</v>
      </c>
      <c r="AO322" s="972">
        <f>IFERROR(VLOOKUP(E322,'liquidaciones '!$B$2:$I$1048576,8,0),"")</f>
        <v>0</v>
      </c>
      <c r="AP322" s="339"/>
      <c r="AQ322" s="177" t="str">
        <f t="shared" ca="1" si="64"/>
        <v>NO</v>
      </c>
      <c r="AR322" s="177" t="s">
        <v>2394</v>
      </c>
      <c r="AS322" s="435"/>
      <c r="AT322" s="992"/>
    </row>
    <row r="323" spans="2:46" ht="47.25" customHeight="1" x14ac:dyDescent="0.25">
      <c r="B323" s="15">
        <v>317</v>
      </c>
      <c r="C323" s="439">
        <v>167</v>
      </c>
      <c r="D323" s="439" t="str">
        <f t="shared" si="53"/>
        <v>2015167</v>
      </c>
      <c r="E323" s="892" t="s">
        <v>2002</v>
      </c>
      <c r="F323" s="890" t="s">
        <v>2003</v>
      </c>
      <c r="G323" s="892">
        <v>830113914</v>
      </c>
      <c r="H323" s="884" t="s">
        <v>2008</v>
      </c>
      <c r="I323" s="210">
        <v>69400000</v>
      </c>
      <c r="J323" s="705" t="s">
        <v>1755</v>
      </c>
      <c r="K323" s="295">
        <v>2015</v>
      </c>
      <c r="L323" s="548">
        <v>42167</v>
      </c>
      <c r="M323" s="891">
        <v>42186</v>
      </c>
      <c r="N323" s="891">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2" t="str">
        <f>IFERROR(VLOOKUP(E323,'liquidaciones '!$B$2:$C$1048576,2,0),"NO")</f>
        <v>LIQUIDADO</v>
      </c>
      <c r="AO323" s="972">
        <f>IFERROR(VLOOKUP(E323,'liquidaciones '!$B$2:$I$1048576,8,0),"")</f>
        <v>0</v>
      </c>
      <c r="AP323" s="339"/>
      <c r="AQ323" s="177" t="str">
        <f t="shared" ca="1" si="64"/>
        <v>SI</v>
      </c>
      <c r="AR323" s="177" t="s">
        <v>1511</v>
      </c>
      <c r="AS323" s="435"/>
      <c r="AT323" s="992"/>
    </row>
    <row r="324" spans="2:46" ht="47.25" customHeight="1" x14ac:dyDescent="0.25">
      <c r="B324" s="15">
        <v>318</v>
      </c>
      <c r="C324" s="439">
        <v>139</v>
      </c>
      <c r="D324" s="439" t="str">
        <f t="shared" si="53"/>
        <v>2015139</v>
      </c>
      <c r="E324" s="892" t="s">
        <v>3346</v>
      </c>
      <c r="F324" s="890" t="s">
        <v>2007</v>
      </c>
      <c r="G324" s="892" t="s">
        <v>2017</v>
      </c>
      <c r="H324" s="884" t="s">
        <v>2016</v>
      </c>
      <c r="I324" s="210">
        <v>1607400</v>
      </c>
      <c r="J324" s="705" t="s">
        <v>1956</v>
      </c>
      <c r="K324" s="295">
        <v>2015</v>
      </c>
      <c r="L324" s="548">
        <v>42172</v>
      </c>
      <c r="M324" s="891">
        <v>42202</v>
      </c>
      <c r="N324" s="891">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2" t="str">
        <f>IFERROR(VLOOKUP(E324,'liquidaciones '!$B$2:$C$1048576,2,0),"NO")</f>
        <v>DEVUELTO</v>
      </c>
      <c r="AO324" s="972" t="str">
        <f>IFERROR(VLOOKUP(E324,'liquidaciones '!$B$2:$I$1048576,8,0),"")</f>
        <v>JULIETH ANGARITA</v>
      </c>
      <c r="AP324" s="339"/>
      <c r="AQ324" s="177" t="str">
        <f t="shared" ca="1" si="64"/>
        <v>SI</v>
      </c>
      <c r="AR324" s="177" t="s">
        <v>1511</v>
      </c>
      <c r="AS324" s="435" t="s">
        <v>3532</v>
      </c>
      <c r="AT324" s="992"/>
    </row>
    <row r="325" spans="2:46" ht="66.75" customHeight="1" x14ac:dyDescent="0.25">
      <c r="B325" s="15">
        <v>319</v>
      </c>
      <c r="C325" s="439">
        <v>182</v>
      </c>
      <c r="D325" s="439" t="str">
        <f t="shared" si="53"/>
        <v>2015182</v>
      </c>
      <c r="E325" s="892" t="s">
        <v>2010</v>
      </c>
      <c r="F325" s="890" t="s">
        <v>2011</v>
      </c>
      <c r="G325" s="892" t="s">
        <v>2012</v>
      </c>
      <c r="H325" s="884" t="s">
        <v>2013</v>
      </c>
      <c r="I325" s="210">
        <v>102000000</v>
      </c>
      <c r="J325" s="705" t="s">
        <v>1754</v>
      </c>
      <c r="K325" s="295">
        <v>2015</v>
      </c>
      <c r="L325" s="548">
        <v>42171</v>
      </c>
      <c r="M325" s="891">
        <v>42186</v>
      </c>
      <c r="N325" s="891">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2" t="str">
        <f>IFERROR(VLOOKUP(E325,'liquidaciones '!$B$2:$C$1048576,2,0),"NO")</f>
        <v>LIQUIDADO</v>
      </c>
      <c r="AO325" s="972">
        <f>IFERROR(VLOOKUP(E325,'liquidaciones '!$B$2:$I$1048576,8,0),"")</f>
        <v>0</v>
      </c>
      <c r="AP325" s="339"/>
      <c r="AQ325" s="177" t="str">
        <f t="shared" ca="1" si="64"/>
        <v>SI</v>
      </c>
      <c r="AR325" s="177" t="s">
        <v>2079</v>
      </c>
      <c r="AS325" s="435"/>
      <c r="AT325" s="992"/>
    </row>
    <row r="326" spans="2:46" ht="66" customHeight="1" x14ac:dyDescent="0.25">
      <c r="B326" s="15">
        <v>320</v>
      </c>
      <c r="C326" s="439">
        <v>165</v>
      </c>
      <c r="D326" s="439" t="str">
        <f t="shared" si="53"/>
        <v>2015165</v>
      </c>
      <c r="E326" s="892" t="s">
        <v>2019</v>
      </c>
      <c r="F326" s="890" t="s">
        <v>2020</v>
      </c>
      <c r="G326" s="892">
        <v>807003866</v>
      </c>
      <c r="H326" s="884" t="s">
        <v>2021</v>
      </c>
      <c r="I326" s="210">
        <v>342000000</v>
      </c>
      <c r="J326" s="705" t="s">
        <v>1762</v>
      </c>
      <c r="K326" s="295">
        <v>2015</v>
      </c>
      <c r="L326" s="548">
        <v>42174</v>
      </c>
      <c r="M326" s="891">
        <v>42187</v>
      </c>
      <c r="N326" s="891">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2" t="str">
        <f>IFERROR(VLOOKUP(E326,'liquidaciones '!$B$2:$C$1048576,2,0),"NO")</f>
        <v>EN TRÁMITE</v>
      </c>
      <c r="AO326" s="972" t="str">
        <f>IFERROR(VLOOKUP(E326,'liquidaciones '!$B$2:$I$1048576,8,0),"")</f>
        <v>MANUEL ROJAS</v>
      </c>
      <c r="AP326" s="339"/>
      <c r="AQ326" s="177" t="str">
        <f t="shared" ca="1" si="64"/>
        <v>SI</v>
      </c>
      <c r="AR326" s="177" t="s">
        <v>1511</v>
      </c>
      <c r="AS326" s="435"/>
      <c r="AT326" s="992"/>
    </row>
    <row r="327" spans="2:46" ht="64.5" customHeight="1" x14ac:dyDescent="0.25">
      <c r="B327" s="15">
        <v>321</v>
      </c>
      <c r="C327" s="439">
        <v>158</v>
      </c>
      <c r="D327" s="439" t="str">
        <f t="shared" ref="D327:D379" si="66">K327&amp;C327</f>
        <v>2015158</v>
      </c>
      <c r="E327" s="892" t="s">
        <v>2022</v>
      </c>
      <c r="F327" s="890" t="s">
        <v>3691</v>
      </c>
      <c r="G327" s="892" t="s">
        <v>2023</v>
      </c>
      <c r="H327" s="884" t="s">
        <v>2024</v>
      </c>
      <c r="I327" s="210">
        <v>180000000</v>
      </c>
      <c r="J327" s="728" t="s">
        <v>2022</v>
      </c>
      <c r="K327" s="295">
        <v>2015</v>
      </c>
      <c r="L327" s="548">
        <v>42179</v>
      </c>
      <c r="M327" s="891">
        <v>42219</v>
      </c>
      <c r="N327" s="891">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2" t="str">
        <f>IFERROR(VLOOKUP(E327,'liquidaciones '!$B$2:$C$1048576,2,0),"NO")</f>
        <v>LIQUIDADO</v>
      </c>
      <c r="AO327" s="972">
        <f>IFERROR(VLOOKUP(E327,'liquidaciones '!$B$2:$I$1048576,8,0),"")</f>
        <v>0</v>
      </c>
      <c r="AP327" s="339"/>
      <c r="AQ327" s="177" t="str">
        <f t="shared" ca="1" si="64"/>
        <v>SI</v>
      </c>
      <c r="AR327" s="177" t="s">
        <v>2977</v>
      </c>
      <c r="AS327" s="435"/>
      <c r="AT327" s="992"/>
    </row>
    <row r="328" spans="2:46" ht="47.25" customHeight="1" x14ac:dyDescent="0.25">
      <c r="B328" s="15">
        <v>322</v>
      </c>
      <c r="C328" s="439">
        <v>63</v>
      </c>
      <c r="D328" s="439" t="str">
        <f t="shared" si="66"/>
        <v>201563</v>
      </c>
      <c r="E328" s="892" t="s">
        <v>2026</v>
      </c>
      <c r="F328" s="890" t="s">
        <v>2027</v>
      </c>
      <c r="G328" s="892">
        <v>800198591</v>
      </c>
      <c r="H328" s="884" t="s">
        <v>2028</v>
      </c>
      <c r="I328" s="210">
        <v>213397762</v>
      </c>
      <c r="J328" s="715" t="s">
        <v>2026</v>
      </c>
      <c r="K328" s="295">
        <v>2015</v>
      </c>
      <c r="L328" s="548">
        <v>42165</v>
      </c>
      <c r="M328" s="891">
        <v>42181</v>
      </c>
      <c r="N328" s="891">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2" t="str">
        <f>IFERROR(VLOOKUP(E328,'liquidaciones '!$B$2:$C$1048576,2,0),"NO")</f>
        <v>LIQUIDADO</v>
      </c>
      <c r="AO328" s="972">
        <f>IFERROR(VLOOKUP(E328,'liquidaciones '!$B$2:$I$1048576,8,0),"")</f>
        <v>0</v>
      </c>
      <c r="AP328" s="339"/>
      <c r="AQ328" s="177" t="str">
        <f t="shared" ca="1" si="64"/>
        <v>SI</v>
      </c>
      <c r="AR328" s="177" t="s">
        <v>1995</v>
      </c>
      <c r="AS328" s="435"/>
      <c r="AT328" s="992"/>
    </row>
    <row r="329" spans="2:46" ht="47.25" customHeight="1" x14ac:dyDescent="0.25">
      <c r="B329" s="15">
        <v>323</v>
      </c>
      <c r="C329" s="439">
        <v>321</v>
      </c>
      <c r="D329" s="439" t="str">
        <f t="shared" si="66"/>
        <v>2015321</v>
      </c>
      <c r="E329" s="892" t="s">
        <v>2030</v>
      </c>
      <c r="F329" s="890" t="s">
        <v>2031</v>
      </c>
      <c r="G329" s="892">
        <v>80854911</v>
      </c>
      <c r="H329" s="884" t="s">
        <v>2032</v>
      </c>
      <c r="I329" s="210">
        <v>10800000</v>
      </c>
      <c r="J329" s="728" t="s">
        <v>2030</v>
      </c>
      <c r="K329" s="295">
        <v>2015</v>
      </c>
      <c r="L329" s="548">
        <v>42179</v>
      </c>
      <c r="M329" s="891">
        <v>42186</v>
      </c>
      <c r="N329" s="891">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2169</v>
      </c>
      <c r="AJ329" s="305" t="s">
        <v>1870</v>
      </c>
      <c r="AK329" s="181" t="str">
        <f t="shared" ca="1" si="73"/>
        <v>TERMINO</v>
      </c>
      <c r="AL329" s="310" t="s">
        <v>582</v>
      </c>
      <c r="AM329" s="176" t="s">
        <v>391</v>
      </c>
      <c r="AN329" s="872" t="str">
        <f>IFERROR(VLOOKUP(E329,'liquidaciones '!$B$2:$C$1048576,2,0),"NO")</f>
        <v>LIQUIDADO</v>
      </c>
      <c r="AO329" s="972" t="str">
        <f>IFERROR(VLOOKUP(E329,'liquidaciones '!$B$2:$I$1048576,8,0),"")</f>
        <v>MANUEL ROJAS</v>
      </c>
      <c r="AP329" s="339"/>
      <c r="AQ329" s="177" t="str">
        <f t="shared" ca="1" si="64"/>
        <v>NO</v>
      </c>
      <c r="AR329" s="177" t="s">
        <v>1573</v>
      </c>
      <c r="AS329" s="435"/>
      <c r="AT329" s="992"/>
    </row>
    <row r="330" spans="2:46" ht="47.25" customHeight="1" x14ac:dyDescent="0.25">
      <c r="B330" s="15">
        <v>324</v>
      </c>
      <c r="C330" s="439">
        <v>320</v>
      </c>
      <c r="D330" s="439" t="str">
        <f t="shared" si="66"/>
        <v>2015320</v>
      </c>
      <c r="E330" s="892" t="s">
        <v>2033</v>
      </c>
      <c r="F330" s="890" t="s">
        <v>2034</v>
      </c>
      <c r="G330" s="892">
        <v>79246871</v>
      </c>
      <c r="H330" s="884" t="s">
        <v>2035</v>
      </c>
      <c r="I330" s="210">
        <v>21600000</v>
      </c>
      <c r="J330" s="728" t="s">
        <v>2033</v>
      </c>
      <c r="K330" s="295">
        <v>2015</v>
      </c>
      <c r="L330" s="548">
        <v>42179</v>
      </c>
      <c r="M330" s="891">
        <v>42186</v>
      </c>
      <c r="N330" s="891">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09" t="s">
        <v>1533</v>
      </c>
      <c r="Y330" s="42">
        <f t="shared" si="69"/>
        <v>0.88888888888888884</v>
      </c>
      <c r="Z330" s="42">
        <f t="shared" ca="1" si="70"/>
        <v>1</v>
      </c>
      <c r="AA330" s="43">
        <f t="shared" ca="1" si="71"/>
        <v>0.11111111111111116</v>
      </c>
      <c r="AB330" s="202" t="str">
        <f t="shared" ca="1" si="72"/>
        <v/>
      </c>
      <c r="AC330" s="44" t="str">
        <f t="shared" si="63"/>
        <v>NO</v>
      </c>
      <c r="AD330" s="762" t="str">
        <f>VLOOKUP(C330,[2]Hoja4!$A$2:$E$116,5,0)</f>
        <v>PRESTACION DE SERVICIOS1</v>
      </c>
      <c r="AE330" s="173" t="s">
        <v>1257</v>
      </c>
      <c r="AF330" s="281" t="s">
        <v>2063</v>
      </c>
      <c r="AG330" s="173" t="s">
        <v>1438</v>
      </c>
      <c r="AH330" s="281" t="s">
        <v>561</v>
      </c>
      <c r="AI330" s="305" t="s">
        <v>2170</v>
      </c>
      <c r="AJ330" s="305" t="s">
        <v>1870</v>
      </c>
      <c r="AK330" s="181" t="str">
        <f t="shared" ca="1" si="73"/>
        <v>TERMINO</v>
      </c>
      <c r="AL330" s="310" t="s">
        <v>582</v>
      </c>
      <c r="AM330" s="176" t="s">
        <v>391</v>
      </c>
      <c r="AN330" s="872" t="str">
        <f>IFERROR(VLOOKUP(E330,'liquidaciones '!$B$2:$C$1048576,2,0),"NO")</f>
        <v>LIQUIDADO</v>
      </c>
      <c r="AO330" s="972">
        <f>IFERROR(VLOOKUP(E330,'liquidaciones '!$B$2:$I$1048576,8,0),"")</f>
        <v>0</v>
      </c>
      <c r="AP330" s="339"/>
      <c r="AQ330" s="177" t="str">
        <f t="shared" ca="1" si="64"/>
        <v>NO</v>
      </c>
      <c r="AR330" s="177" t="s">
        <v>2079</v>
      </c>
      <c r="AS330" s="435"/>
      <c r="AT330" s="992"/>
    </row>
    <row r="331" spans="2:46" ht="47.25" customHeight="1" x14ac:dyDescent="0.25">
      <c r="B331" s="15">
        <v>325</v>
      </c>
      <c r="C331" s="439">
        <v>321</v>
      </c>
      <c r="D331" s="439" t="str">
        <f t="shared" si="66"/>
        <v>2015321</v>
      </c>
      <c r="E331" s="892" t="s">
        <v>2036</v>
      </c>
      <c r="F331" s="890" t="s">
        <v>2037</v>
      </c>
      <c r="G331" s="892">
        <v>80170782</v>
      </c>
      <c r="H331" s="884" t="s">
        <v>2032</v>
      </c>
      <c r="I331" s="210">
        <v>10800000</v>
      </c>
      <c r="J331" s="728" t="s">
        <v>2036</v>
      </c>
      <c r="K331" s="295">
        <v>2015</v>
      </c>
      <c r="L331" s="548">
        <v>42179</v>
      </c>
      <c r="M331" s="891">
        <v>42186</v>
      </c>
      <c r="N331" s="891">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2169</v>
      </c>
      <c r="AJ331" s="305" t="s">
        <v>1870</v>
      </c>
      <c r="AK331" s="181" t="str">
        <f t="shared" ca="1" si="73"/>
        <v>TERMINO</v>
      </c>
      <c r="AL331" s="310" t="s">
        <v>582</v>
      </c>
      <c r="AM331" s="176" t="s">
        <v>391</v>
      </c>
      <c r="AN331" s="872" t="str">
        <f>IFERROR(VLOOKUP(E331,'liquidaciones '!$B$2:$C$1048576,2,0),"NO")</f>
        <v>LIQUIDADO</v>
      </c>
      <c r="AO331" s="972" t="str">
        <f>IFERROR(VLOOKUP(E331,'liquidaciones '!$B$2:$I$1048576,8,0),"")</f>
        <v>MANUEL ROJAS</v>
      </c>
      <c r="AP331" s="339"/>
      <c r="AQ331" s="177" t="str">
        <f t="shared" ca="1" si="64"/>
        <v>NO</v>
      </c>
      <c r="AR331" s="177" t="s">
        <v>1573</v>
      </c>
      <c r="AS331" s="435"/>
      <c r="AT331" s="992"/>
    </row>
    <row r="332" spans="2:46" ht="47.25" customHeight="1" x14ac:dyDescent="0.25">
      <c r="B332" s="15">
        <v>326</v>
      </c>
      <c r="C332" s="439">
        <v>322</v>
      </c>
      <c r="D332" s="439" t="str">
        <f t="shared" si="66"/>
        <v>2015322</v>
      </c>
      <c r="E332" s="892" t="s">
        <v>2038</v>
      </c>
      <c r="F332" s="890" t="s">
        <v>2039</v>
      </c>
      <c r="G332" s="892">
        <v>1032369925</v>
      </c>
      <c r="H332" s="884" t="s">
        <v>2040</v>
      </c>
      <c r="I332" s="210">
        <v>10800000</v>
      </c>
      <c r="J332" s="728" t="s">
        <v>2038</v>
      </c>
      <c r="K332" s="295">
        <v>2015</v>
      </c>
      <c r="L332" s="548">
        <v>42179</v>
      </c>
      <c r="M332" s="891">
        <v>42186</v>
      </c>
      <c r="N332" s="891">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2172</v>
      </c>
      <c r="AJ332" s="305" t="s">
        <v>1870</v>
      </c>
      <c r="AK332" s="181" t="str">
        <f t="shared" ca="1" si="73"/>
        <v>TERMINO</v>
      </c>
      <c r="AL332" s="310" t="s">
        <v>582</v>
      </c>
      <c r="AM332" s="176" t="s">
        <v>391</v>
      </c>
      <c r="AN332" s="872" t="str">
        <f>IFERROR(VLOOKUP(E332,'liquidaciones '!$B$2:$C$1048576,2,0),"NO")</f>
        <v>LIQUIDADO</v>
      </c>
      <c r="AO332" s="972" t="str">
        <f>IFERROR(VLOOKUP(E332,'liquidaciones '!$B$2:$I$1048576,8,0),"")</f>
        <v>DORA PINILLA</v>
      </c>
      <c r="AP332" s="339"/>
      <c r="AQ332" s="177" t="str">
        <f t="shared" ca="1" si="64"/>
        <v>NO</v>
      </c>
      <c r="AR332" s="177" t="s">
        <v>2079</v>
      </c>
      <c r="AS332" s="435"/>
      <c r="AT332" s="992"/>
    </row>
    <row r="333" spans="2:46" ht="47.25" customHeight="1" x14ac:dyDescent="0.25">
      <c r="B333" s="15">
        <v>327</v>
      </c>
      <c r="C333" s="439">
        <v>321</v>
      </c>
      <c r="D333" s="439" t="str">
        <f t="shared" si="66"/>
        <v>2015321</v>
      </c>
      <c r="E333" s="892" t="s">
        <v>2041</v>
      </c>
      <c r="F333" s="890" t="s">
        <v>2042</v>
      </c>
      <c r="G333" s="892">
        <v>1019064265</v>
      </c>
      <c r="H333" s="884" t="s">
        <v>2032</v>
      </c>
      <c r="I333" s="210">
        <v>10800000</v>
      </c>
      <c r="J333" s="728" t="s">
        <v>2041</v>
      </c>
      <c r="K333" s="295">
        <v>2015</v>
      </c>
      <c r="L333" s="548">
        <v>42179</v>
      </c>
      <c r="M333" s="891">
        <v>42186</v>
      </c>
      <c r="N333" s="891">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2169</v>
      </c>
      <c r="AJ333" s="305" t="s">
        <v>1870</v>
      </c>
      <c r="AK333" s="181" t="str">
        <f t="shared" ca="1" si="73"/>
        <v>TERMINO</v>
      </c>
      <c r="AL333" s="310" t="s">
        <v>582</v>
      </c>
      <c r="AM333" s="176" t="s">
        <v>391</v>
      </c>
      <c r="AN333" s="872" t="str">
        <f>IFERROR(VLOOKUP(E333,'liquidaciones '!$B$2:$C$1048576,2,0),"NO")</f>
        <v>LIQUIDADO</v>
      </c>
      <c r="AO333" s="972">
        <f>IFERROR(VLOOKUP(E333,'liquidaciones '!$B$2:$I$1048576,8,0),"")</f>
        <v>0</v>
      </c>
      <c r="AP333" s="339"/>
      <c r="AQ333" s="177" t="str">
        <f t="shared" ca="1" si="64"/>
        <v>NO</v>
      </c>
      <c r="AR333" s="177" t="s">
        <v>1573</v>
      </c>
      <c r="AS333" s="435"/>
      <c r="AT333" s="992"/>
    </row>
    <row r="334" spans="2:46" ht="47.25" customHeight="1" x14ac:dyDescent="0.25">
      <c r="B334" s="15">
        <v>328</v>
      </c>
      <c r="C334" s="439">
        <v>321</v>
      </c>
      <c r="D334" s="439" t="str">
        <f t="shared" si="66"/>
        <v>2015321</v>
      </c>
      <c r="E334" s="892" t="s">
        <v>2043</v>
      </c>
      <c r="F334" s="890" t="s">
        <v>2044</v>
      </c>
      <c r="G334" s="892">
        <v>36547458</v>
      </c>
      <c r="H334" s="884" t="s">
        <v>2045</v>
      </c>
      <c r="I334" s="210">
        <v>10800000</v>
      </c>
      <c r="J334" s="728" t="s">
        <v>2043</v>
      </c>
      <c r="K334" s="295">
        <v>2015</v>
      </c>
      <c r="L334" s="548">
        <v>42179</v>
      </c>
      <c r="M334" s="891">
        <v>42186</v>
      </c>
      <c r="N334" s="891">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2169</v>
      </c>
      <c r="AJ334" s="305" t="s">
        <v>1870</v>
      </c>
      <c r="AK334" s="181" t="str">
        <f t="shared" ca="1" si="73"/>
        <v>TERMINO</v>
      </c>
      <c r="AL334" s="310" t="s">
        <v>582</v>
      </c>
      <c r="AM334" s="176" t="s">
        <v>391</v>
      </c>
      <c r="AN334" s="872" t="str">
        <f>IFERROR(VLOOKUP(E334,'liquidaciones '!$B$2:$C$1048576,2,0),"NO")</f>
        <v>LIQUIDADO</v>
      </c>
      <c r="AO334" s="972">
        <f>IFERROR(VLOOKUP(E334,'liquidaciones '!$B$2:$I$1048576,8,0),"")</f>
        <v>0</v>
      </c>
      <c r="AP334" s="339"/>
      <c r="AQ334" s="177" t="str">
        <f t="shared" ca="1" si="64"/>
        <v>NO</v>
      </c>
      <c r="AR334" s="177" t="s">
        <v>1573</v>
      </c>
      <c r="AS334" s="435"/>
      <c r="AT334" s="992"/>
    </row>
    <row r="335" spans="2:46" ht="47.25" customHeight="1" x14ac:dyDescent="0.25">
      <c r="B335" s="15">
        <v>329</v>
      </c>
      <c r="C335" s="439">
        <v>324</v>
      </c>
      <c r="D335" s="439" t="str">
        <f t="shared" si="66"/>
        <v>2015324</v>
      </c>
      <c r="E335" s="892" t="s">
        <v>2046</v>
      </c>
      <c r="F335" s="890" t="s">
        <v>2047</v>
      </c>
      <c r="G335" s="892">
        <v>35493364</v>
      </c>
      <c r="H335" s="884" t="s">
        <v>2048</v>
      </c>
      <c r="I335" s="210">
        <v>31800000</v>
      </c>
      <c r="J335" s="728" t="s">
        <v>2046</v>
      </c>
      <c r="K335" s="295">
        <v>2015</v>
      </c>
      <c r="L335" s="548">
        <v>42179</v>
      </c>
      <c r="M335" s="891">
        <v>42186</v>
      </c>
      <c r="N335" s="891">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tr">
        <f>VLOOKUP(C335,[2]Hoja4!$A$2:$E$116,5,0)</f>
        <v>PRESTACION DE SERVICIOS1</v>
      </c>
      <c r="AE335" s="173" t="s">
        <v>1257</v>
      </c>
      <c r="AF335" s="281" t="s">
        <v>2062</v>
      </c>
      <c r="AG335" s="173" t="s">
        <v>1430</v>
      </c>
      <c r="AH335" s="281" t="s">
        <v>563</v>
      </c>
      <c r="AI335" s="305"/>
      <c r="AJ335" s="305" t="s">
        <v>1870</v>
      </c>
      <c r="AK335" s="181" t="str">
        <f t="shared" ca="1" si="73"/>
        <v>TERMINO</v>
      </c>
      <c r="AL335" s="310" t="s">
        <v>582</v>
      </c>
      <c r="AM335" s="176" t="s">
        <v>391</v>
      </c>
      <c r="AN335" s="872" t="str">
        <f>IFERROR(VLOOKUP(E335,'liquidaciones '!$B$2:$C$1048576,2,0),"NO")</f>
        <v>LIQUIDADO</v>
      </c>
      <c r="AO335" s="972">
        <f>IFERROR(VLOOKUP(E335,'liquidaciones '!$B$2:$I$1048576,8,0),"")</f>
        <v>0</v>
      </c>
      <c r="AP335" s="339"/>
      <c r="AQ335" s="177" t="str">
        <f t="shared" ca="1" si="64"/>
        <v>NO</v>
      </c>
      <c r="AR335" s="177" t="s">
        <v>2079</v>
      </c>
      <c r="AS335" s="435"/>
      <c r="AT335" s="992"/>
    </row>
    <row r="336" spans="2:46" ht="47.25" customHeight="1" x14ac:dyDescent="0.25">
      <c r="B336" s="15">
        <v>330</v>
      </c>
      <c r="C336" s="439">
        <v>321</v>
      </c>
      <c r="D336" s="439" t="str">
        <f t="shared" si="66"/>
        <v>2015321</v>
      </c>
      <c r="E336" s="892" t="s">
        <v>2049</v>
      </c>
      <c r="F336" s="890" t="s">
        <v>2050</v>
      </c>
      <c r="G336" s="892">
        <v>52289212</v>
      </c>
      <c r="H336" s="884" t="s">
        <v>2045</v>
      </c>
      <c r="I336" s="210">
        <v>10800000</v>
      </c>
      <c r="J336" s="728" t="s">
        <v>2049</v>
      </c>
      <c r="K336" s="295">
        <v>2015</v>
      </c>
      <c r="L336" s="548">
        <v>42179</v>
      </c>
      <c r="M336" s="891">
        <v>42186</v>
      </c>
      <c r="N336" s="891">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2169</v>
      </c>
      <c r="AJ336" s="305" t="s">
        <v>1870</v>
      </c>
      <c r="AK336" s="181" t="str">
        <f t="shared" ca="1" si="73"/>
        <v>TERMINO</v>
      </c>
      <c r="AL336" s="310" t="s">
        <v>582</v>
      </c>
      <c r="AM336" s="176" t="s">
        <v>391</v>
      </c>
      <c r="AN336" s="872" t="str">
        <f>IFERROR(VLOOKUP(E336,'liquidaciones '!$B$2:$C$1048576,2,0),"NO")</f>
        <v>LIQUIDADO</v>
      </c>
      <c r="AO336" s="972">
        <f>IFERROR(VLOOKUP(E336,'liquidaciones '!$B$2:$I$1048576,8,0),"")</f>
        <v>0</v>
      </c>
      <c r="AP336" s="339"/>
      <c r="AQ336" s="177" t="str">
        <f t="shared" ca="1" si="64"/>
        <v>NO</v>
      </c>
      <c r="AR336" s="177" t="s">
        <v>1573</v>
      </c>
      <c r="AS336" s="435"/>
      <c r="AT336" s="992"/>
    </row>
    <row r="337" spans="2:46" ht="47.25" customHeight="1" x14ac:dyDescent="0.25">
      <c r="B337" s="15">
        <v>331</v>
      </c>
      <c r="C337" s="439">
        <v>319</v>
      </c>
      <c r="D337" s="439" t="str">
        <f t="shared" si="66"/>
        <v>2015319</v>
      </c>
      <c r="E337" s="892" t="s">
        <v>2051</v>
      </c>
      <c r="F337" s="890" t="s">
        <v>2052</v>
      </c>
      <c r="G337" s="892">
        <v>19465430</v>
      </c>
      <c r="H337" s="884" t="s">
        <v>2053</v>
      </c>
      <c r="I337" s="210">
        <v>31800000</v>
      </c>
      <c r="J337" s="728" t="s">
        <v>2051</v>
      </c>
      <c r="K337" s="295">
        <v>2015</v>
      </c>
      <c r="L337" s="548">
        <v>42179</v>
      </c>
      <c r="M337" s="891">
        <v>42186</v>
      </c>
      <c r="N337" s="891">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tr">
        <f>VLOOKUP(C337,[2]Hoja4!$A$2:$E$116,5,0)</f>
        <v>PRESTACION DE SERVICIOS1</v>
      </c>
      <c r="AE337" s="173" t="s">
        <v>1257</v>
      </c>
      <c r="AF337" s="281" t="s">
        <v>2060</v>
      </c>
      <c r="AG337" s="173" t="s">
        <v>1178</v>
      </c>
      <c r="AH337" s="281" t="s">
        <v>559</v>
      </c>
      <c r="AI337" s="305" t="s">
        <v>2172</v>
      </c>
      <c r="AJ337" s="305" t="s">
        <v>1870</v>
      </c>
      <c r="AK337" s="181" t="str">
        <f t="shared" ca="1" si="73"/>
        <v>TERMINO</v>
      </c>
      <c r="AL337" s="310" t="s">
        <v>582</v>
      </c>
      <c r="AM337" s="176" t="s">
        <v>391</v>
      </c>
      <c r="AN337" s="872" t="str">
        <f>IFERROR(VLOOKUP(E337,'liquidaciones '!$B$2:$C$1048576,2,0),"NO")</f>
        <v>LIQUIDADO</v>
      </c>
      <c r="AO337" s="972" t="str">
        <f>IFERROR(VLOOKUP(E337,'liquidaciones '!$B$2:$I$1048576,8,0),"")</f>
        <v>CLAUDIA VANEGAS</v>
      </c>
      <c r="AP337" s="339"/>
      <c r="AQ337" s="177" t="str">
        <f t="shared" ca="1" si="64"/>
        <v>NO</v>
      </c>
      <c r="AR337" s="177" t="s">
        <v>2079</v>
      </c>
      <c r="AS337" s="435"/>
      <c r="AT337" s="992"/>
    </row>
    <row r="338" spans="2:46" ht="47.25" customHeight="1" x14ac:dyDescent="0.25">
      <c r="B338" s="15">
        <v>332</v>
      </c>
      <c r="C338" s="439">
        <v>188</v>
      </c>
      <c r="D338" s="439" t="str">
        <f t="shared" si="66"/>
        <v>2015188</v>
      </c>
      <c r="E338" s="892" t="s">
        <v>2057</v>
      </c>
      <c r="F338" s="890" t="s">
        <v>2058</v>
      </c>
      <c r="G338" s="892">
        <v>900409217</v>
      </c>
      <c r="H338" s="884" t="s">
        <v>2059</v>
      </c>
      <c r="I338" s="210">
        <v>52390000</v>
      </c>
      <c r="J338" s="705" t="s">
        <v>1876</v>
      </c>
      <c r="K338" s="295">
        <v>2015</v>
      </c>
      <c r="L338" s="548">
        <v>42181</v>
      </c>
      <c r="M338" s="891">
        <v>42200</v>
      </c>
      <c r="N338" s="891">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2" t="str">
        <f>IFERROR(VLOOKUP(E338,'liquidaciones '!$B$2:$C$1048576,2,0),"NO")</f>
        <v>LIQUIDADO</v>
      </c>
      <c r="AO338" s="972">
        <f>IFERROR(VLOOKUP(E338,'liquidaciones '!$B$2:$I$1048576,8,0),"")</f>
        <v>0</v>
      </c>
      <c r="AP338" s="339"/>
      <c r="AQ338" s="177" t="str">
        <f t="shared" ca="1" si="64"/>
        <v>NO</v>
      </c>
      <c r="AR338" s="177" t="s">
        <v>2394</v>
      </c>
      <c r="AS338" s="435"/>
      <c r="AT338" s="992"/>
    </row>
    <row r="339" spans="2:46" ht="47.25" customHeight="1" x14ac:dyDescent="0.25">
      <c r="B339" s="15">
        <v>333</v>
      </c>
      <c r="C339" s="439">
        <v>321</v>
      </c>
      <c r="D339" s="439" t="str">
        <f t="shared" si="66"/>
        <v>2015321</v>
      </c>
      <c r="E339" s="892" t="s">
        <v>2069</v>
      </c>
      <c r="F339" s="890" t="s">
        <v>2068</v>
      </c>
      <c r="G339" s="892">
        <v>1030580992</v>
      </c>
      <c r="H339" s="884" t="s">
        <v>2045</v>
      </c>
      <c r="I339" s="210">
        <v>10800000</v>
      </c>
      <c r="J339" s="728" t="s">
        <v>2069</v>
      </c>
      <c r="K339" s="295">
        <v>2015</v>
      </c>
      <c r="L339" s="548">
        <v>42193</v>
      </c>
      <c r="M339" s="891">
        <v>42198</v>
      </c>
      <c r="N339" s="891">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09" t="s">
        <v>1533</v>
      </c>
      <c r="Y339" s="42">
        <f t="shared" si="69"/>
        <v>0.26666666666666666</v>
      </c>
      <c r="Z339" s="42">
        <f t="shared" ca="1" si="70"/>
        <v>1</v>
      </c>
      <c r="AA339" s="43">
        <f t="shared" ca="1" si="71"/>
        <v>0.73333333333333339</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2169</v>
      </c>
      <c r="AJ339" s="305" t="s">
        <v>1870</v>
      </c>
      <c r="AK339" s="181" t="str">
        <f t="shared" ca="1" si="73"/>
        <v>TERMINO</v>
      </c>
      <c r="AL339" s="310" t="s">
        <v>582</v>
      </c>
      <c r="AM339" s="176" t="s">
        <v>391</v>
      </c>
      <c r="AN339" s="872" t="str">
        <f>IFERROR(VLOOKUP(E339,'liquidaciones '!$B$2:$C$1048576,2,0),"NO")</f>
        <v>LIQUIDADO</v>
      </c>
      <c r="AO339" s="972" t="str">
        <f>IFERROR(VLOOKUP(E339,'liquidaciones '!$B$2:$I$1048576,8,0),"")</f>
        <v>MANUEL ROJAS</v>
      </c>
      <c r="AP339" s="339"/>
      <c r="AQ339" s="177" t="str">
        <f t="shared" ca="1" si="64"/>
        <v>NO</v>
      </c>
      <c r="AR339" s="177" t="s">
        <v>1573</v>
      </c>
      <c r="AS339" s="435"/>
      <c r="AT339" s="992"/>
    </row>
    <row r="340" spans="2:46" ht="47.25" customHeight="1" x14ac:dyDescent="0.25">
      <c r="B340" s="15">
        <v>334</v>
      </c>
      <c r="C340" s="439">
        <v>58</v>
      </c>
      <c r="D340" s="439" t="str">
        <f t="shared" si="66"/>
        <v>201558</v>
      </c>
      <c r="E340" s="892" t="s">
        <v>2070</v>
      </c>
      <c r="F340" s="890" t="s">
        <v>2071</v>
      </c>
      <c r="G340" s="892">
        <v>830048145</v>
      </c>
      <c r="H340" s="884" t="s">
        <v>2072</v>
      </c>
      <c r="I340" s="210">
        <v>450880</v>
      </c>
      <c r="J340" s="704" t="s">
        <v>2070</v>
      </c>
      <c r="K340" s="295">
        <v>2015</v>
      </c>
      <c r="L340" s="548">
        <v>42194</v>
      </c>
      <c r="M340" s="891">
        <v>42219</v>
      </c>
      <c r="N340" s="891">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2" t="str">
        <f>IFERROR(VLOOKUP(E340,'liquidaciones '!$B$2:$C$1048576,2,0),"NO")</f>
        <v>LIQUIDADO</v>
      </c>
      <c r="AO340" s="972">
        <f>IFERROR(VLOOKUP(E340,'liquidaciones '!$B$2:$I$1048576,8,0),"")</f>
        <v>0</v>
      </c>
      <c r="AP340" s="339"/>
      <c r="AQ340" s="177" t="str">
        <f t="shared" ca="1" si="64"/>
        <v>NO</v>
      </c>
      <c r="AR340" s="177" t="s">
        <v>1995</v>
      </c>
      <c r="AS340" s="435"/>
      <c r="AT340" s="992"/>
    </row>
    <row r="341" spans="2:46" ht="58.5" customHeight="1" x14ac:dyDescent="0.25">
      <c r="B341" s="15">
        <v>335</v>
      </c>
      <c r="C341" s="439">
        <v>179</v>
      </c>
      <c r="D341" s="439" t="str">
        <f t="shared" si="66"/>
        <v>2015179</v>
      </c>
      <c r="E341" s="892" t="s">
        <v>4344</v>
      </c>
      <c r="F341" s="890" t="s">
        <v>2073</v>
      </c>
      <c r="G341" s="714">
        <v>860002184</v>
      </c>
      <c r="H341" s="884" t="s">
        <v>2074</v>
      </c>
      <c r="I341" s="210">
        <v>186482674</v>
      </c>
      <c r="J341" s="704" t="s">
        <v>2075</v>
      </c>
      <c r="K341" s="295">
        <v>2015</v>
      </c>
      <c r="L341" s="548">
        <v>42187</v>
      </c>
      <c r="M341" s="891"/>
      <c r="N341" s="891"/>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09" t="s">
        <v>2076</v>
      </c>
      <c r="Y341" s="42">
        <f t="shared" si="69"/>
        <v>0</v>
      </c>
      <c r="Z341" s="42" t="e">
        <f t="shared" ca="1" si="70"/>
        <v>#DIV/0!</v>
      </c>
      <c r="AA341" s="43" t="e">
        <f t="shared" ca="1" si="71"/>
        <v>#DIV/0!</v>
      </c>
      <c r="AB341" s="202" t="e">
        <f t="shared" ca="1" si="72"/>
        <v>#DIV/0!</v>
      </c>
      <c r="AC341" s="44" t="str">
        <f t="shared" si="63"/>
        <v>NO</v>
      </c>
      <c r="AD341" s="762" t="str">
        <f>VLOOKUP(C341,[2]Hoja4!$A$2:$E$116,5,0)</f>
        <v>PRESTACION DE SERVICIOS</v>
      </c>
      <c r="AE341" s="173" t="s">
        <v>1257</v>
      </c>
      <c r="AF341" s="281" t="s">
        <v>2077</v>
      </c>
      <c r="AG341" s="173"/>
      <c r="AH341" s="281" t="s">
        <v>560</v>
      </c>
      <c r="AI341" s="305"/>
      <c r="AJ341" s="305" t="s">
        <v>2078</v>
      </c>
      <c r="AK341" s="181" t="str">
        <f t="shared" ca="1" si="73"/>
        <v>TERMINO</v>
      </c>
      <c r="AL341" s="310" t="s">
        <v>574</v>
      </c>
      <c r="AM341" s="176" t="s">
        <v>390</v>
      </c>
      <c r="AN341" s="872" t="str">
        <f>IFERROR(VLOOKUP(E341,'liquidaciones '!$B$2:$C$1048576,2,0),"NO")</f>
        <v>LIQUIDADO</v>
      </c>
      <c r="AO341" s="972">
        <f>IFERROR(VLOOKUP(E341,'liquidaciones '!$B$2:$I$1048576,8,0),"")</f>
        <v>0</v>
      </c>
      <c r="AP341" s="339"/>
      <c r="AQ341" s="177" t="str">
        <f t="shared" ca="1" si="64"/>
        <v>NO</v>
      </c>
      <c r="AR341" s="177"/>
      <c r="AS341" s="435"/>
      <c r="AT341" s="992"/>
    </row>
    <row r="342" spans="2:46" ht="47.25" customHeight="1" x14ac:dyDescent="0.25">
      <c r="B342" s="15">
        <v>336</v>
      </c>
      <c r="C342" s="439">
        <v>60</v>
      </c>
      <c r="D342" s="439" t="str">
        <f t="shared" si="66"/>
        <v>201560</v>
      </c>
      <c r="E342" s="892" t="s">
        <v>2080</v>
      </c>
      <c r="F342" s="890" t="s">
        <v>186</v>
      </c>
      <c r="G342" s="892">
        <v>800039398</v>
      </c>
      <c r="H342" s="884" t="s">
        <v>2081</v>
      </c>
      <c r="I342" s="210">
        <v>85933385</v>
      </c>
      <c r="J342" s="704" t="s">
        <v>2082</v>
      </c>
      <c r="K342" s="295">
        <v>2015</v>
      </c>
      <c r="L342" s="548">
        <v>42200</v>
      </c>
      <c r="M342" s="891">
        <v>42209</v>
      </c>
      <c r="N342" s="891">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09"/>
      <c r="Y342" s="42">
        <f t="shared" si="69"/>
        <v>0.97947762676868833</v>
      </c>
      <c r="Z342" s="42">
        <f t="shared" ca="1" si="70"/>
        <v>1</v>
      </c>
      <c r="AA342" s="43">
        <f t="shared" ca="1" si="71"/>
        <v>2.0522373231311675E-2</v>
      </c>
      <c r="AB342" s="202" t="str">
        <f t="shared" ca="1" si="72"/>
        <v/>
      </c>
      <c r="AC342" s="44" t="str">
        <f t="shared" si="63"/>
        <v>NO</v>
      </c>
      <c r="AD342" s="762" t="str">
        <f>VLOOKUP(C342,[2]Hoja4!$A$2:$E$116,5,0)</f>
        <v>PRESTACION DE SERVICIOS</v>
      </c>
      <c r="AE342" s="173" t="s">
        <v>1258</v>
      </c>
      <c r="AF342" s="281" t="s">
        <v>2083</v>
      </c>
      <c r="AG342" s="173" t="s">
        <v>1440</v>
      </c>
      <c r="AH342" s="281" t="s">
        <v>560</v>
      </c>
      <c r="AI342" s="305" t="s">
        <v>1510</v>
      </c>
      <c r="AJ342" s="305" t="s">
        <v>1870</v>
      </c>
      <c r="AK342" s="181" t="str">
        <f t="shared" ca="1" si="73"/>
        <v>TERMINO</v>
      </c>
      <c r="AL342" s="310" t="s">
        <v>575</v>
      </c>
      <c r="AM342" s="176" t="s">
        <v>390</v>
      </c>
      <c r="AN342" s="872" t="str">
        <f>IFERROR(VLOOKUP(E342,'liquidaciones '!$B$2:$C$1048576,2,0),"NO")</f>
        <v>LIQUIDADO</v>
      </c>
      <c r="AO342" s="972" t="str">
        <f>IFERROR(VLOOKUP(E342,'liquidaciones '!$B$2:$I$1048576,8,0),"")</f>
        <v>JULIETH ANGARITA</v>
      </c>
      <c r="AP342" s="339"/>
      <c r="AQ342" s="177" t="str">
        <f t="shared" ca="1" si="64"/>
        <v>SI</v>
      </c>
      <c r="AR342" s="177" t="s">
        <v>2609</v>
      </c>
      <c r="AS342" s="435"/>
      <c r="AT342" s="992"/>
    </row>
    <row r="343" spans="2:46" ht="47.25" customHeight="1" x14ac:dyDescent="0.25">
      <c r="B343" s="15">
        <v>337</v>
      </c>
      <c r="C343" s="439">
        <v>189</v>
      </c>
      <c r="D343" s="439" t="str">
        <f t="shared" si="66"/>
        <v>2015189</v>
      </c>
      <c r="E343" s="892" t="s">
        <v>2084</v>
      </c>
      <c r="F343" s="890" t="s">
        <v>2085</v>
      </c>
      <c r="G343" s="892">
        <v>800105847</v>
      </c>
      <c r="H343" s="884" t="s">
        <v>2086</v>
      </c>
      <c r="I343" s="210">
        <v>3608000</v>
      </c>
      <c r="J343" s="704" t="s">
        <v>2015</v>
      </c>
      <c r="K343" s="295">
        <v>2015</v>
      </c>
      <c r="L343" s="548">
        <v>42201</v>
      </c>
      <c r="M343" s="891">
        <v>42295</v>
      </c>
      <c r="N343" s="891">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2087</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2" t="str">
        <f>IFERROR(VLOOKUP(E343,'liquidaciones '!$B$2:$C$1048576,2,0),"NO")</f>
        <v>LIQUIDADO</v>
      </c>
      <c r="AO343" s="972" t="str">
        <f>IFERROR(VLOOKUP(E343,'liquidaciones '!$B$2:$I$1048576,8,0),"")</f>
        <v>GIOVANNI SUAREZ</v>
      </c>
      <c r="AP343" s="339"/>
      <c r="AQ343" s="177" t="str">
        <f t="shared" ca="1" si="64"/>
        <v>NO</v>
      </c>
      <c r="AR343" s="177" t="s">
        <v>2394</v>
      </c>
      <c r="AS343" s="435"/>
      <c r="AT343" s="992"/>
    </row>
    <row r="344" spans="2:46" ht="47.25" customHeight="1" x14ac:dyDescent="0.25">
      <c r="B344" s="15">
        <v>338</v>
      </c>
      <c r="C344" s="439">
        <v>140</v>
      </c>
      <c r="D344" s="439" t="str">
        <f t="shared" si="66"/>
        <v>2015140</v>
      </c>
      <c r="E344" s="892" t="s">
        <v>2093</v>
      </c>
      <c r="F344" s="890" t="s">
        <v>2094</v>
      </c>
      <c r="G344" s="892">
        <v>900631629</v>
      </c>
      <c r="H344" s="884" t="s">
        <v>2095</v>
      </c>
      <c r="I344" s="210">
        <v>715000</v>
      </c>
      <c r="J344" s="704" t="s">
        <v>2056</v>
      </c>
      <c r="K344" s="295">
        <v>2015</v>
      </c>
      <c r="L344" s="548">
        <v>42207</v>
      </c>
      <c r="M344" s="891">
        <v>42221</v>
      </c>
      <c r="N344" s="891">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2096</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2" t="str">
        <f>IFERROR(VLOOKUP(E344,'liquidaciones '!$B$2:$C$1048576,2,0),"NO")</f>
        <v>LIQUIDADO</v>
      </c>
      <c r="AO344" s="972" t="str">
        <f>IFERROR(VLOOKUP(E344,'liquidaciones '!$B$2:$I$1048576,8,0),"")</f>
        <v>GIOVANNI SUAREZ</v>
      </c>
      <c r="AP344" s="339"/>
      <c r="AQ344" s="177" t="str">
        <f t="shared" ca="1" si="64"/>
        <v>SI</v>
      </c>
      <c r="AR344" s="177" t="s">
        <v>2606</v>
      </c>
      <c r="AS344" s="435"/>
      <c r="AT344" s="992"/>
    </row>
    <row r="345" spans="2:46" ht="47.25" customHeight="1" x14ac:dyDescent="0.25">
      <c r="B345" s="15">
        <v>339</v>
      </c>
      <c r="C345" s="439">
        <v>314</v>
      </c>
      <c r="D345" s="439" t="str">
        <f t="shared" si="66"/>
        <v>2015314</v>
      </c>
      <c r="E345" s="892" t="s">
        <v>2101</v>
      </c>
      <c r="F345" s="890" t="s">
        <v>2099</v>
      </c>
      <c r="G345" s="892">
        <v>830099766</v>
      </c>
      <c r="H345" s="884" t="s">
        <v>2100</v>
      </c>
      <c r="I345" s="210">
        <v>80041097</v>
      </c>
      <c r="J345" s="704" t="s">
        <v>2101</v>
      </c>
      <c r="K345" s="295">
        <v>2015</v>
      </c>
      <c r="L345" s="548">
        <v>42193</v>
      </c>
      <c r="M345" s="891">
        <v>42199</v>
      </c>
      <c r="N345" s="891">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09" t="s">
        <v>1528</v>
      </c>
      <c r="Y345" s="42">
        <f t="shared" si="69"/>
        <v>0.90504481716436247</v>
      </c>
      <c r="Z345" s="42">
        <f t="shared" ca="1" si="70"/>
        <v>1</v>
      </c>
      <c r="AA345" s="43">
        <f t="shared" ca="1" si="71"/>
        <v>9.495518283563753E-2</v>
      </c>
      <c r="AB345" s="202" t="str">
        <f t="shared" ca="1" si="72"/>
        <v/>
      </c>
      <c r="AC345" s="44" t="str">
        <f t="shared" si="63"/>
        <v>NO</v>
      </c>
      <c r="AD345" s="762" t="str">
        <f>VLOOKUP(C345,[2]Hoja4!$A$2:$E$116,5,0)</f>
        <v>PRESTACION DE SERVICIOS</v>
      </c>
      <c r="AE345" s="173" t="s">
        <v>1258</v>
      </c>
      <c r="AF345" s="281" t="s">
        <v>2102</v>
      </c>
      <c r="AG345" s="173" t="s">
        <v>1440</v>
      </c>
      <c r="AH345" s="281" t="s">
        <v>560</v>
      </c>
      <c r="AI345" s="305" t="s">
        <v>1510</v>
      </c>
      <c r="AJ345" s="305" t="s">
        <v>1870</v>
      </c>
      <c r="AK345" s="181" t="str">
        <f t="shared" ca="1" si="73"/>
        <v>TERMINO</v>
      </c>
      <c r="AL345" s="310" t="s">
        <v>582</v>
      </c>
      <c r="AM345" s="176" t="s">
        <v>390</v>
      </c>
      <c r="AN345" s="872" t="str">
        <f>IFERROR(VLOOKUP(E345,'liquidaciones '!$B$2:$C$1048576,2,0),"NO")</f>
        <v>LIQUIDADO</v>
      </c>
      <c r="AO345" s="972" t="str">
        <f>IFERROR(VLOOKUP(E345,'liquidaciones '!$B$2:$I$1048576,8,0),"")</f>
        <v>GIOVANNI SUAREZ</v>
      </c>
      <c r="AP345" s="339"/>
      <c r="AQ345" s="177" t="str">
        <f t="shared" ca="1" si="64"/>
        <v>SI</v>
      </c>
      <c r="AR345" s="177" t="s">
        <v>2609</v>
      </c>
      <c r="AS345" s="435"/>
      <c r="AT345" s="992"/>
    </row>
    <row r="346" spans="2:46" ht="33.75" x14ac:dyDescent="0.25">
      <c r="B346" s="15">
        <v>340</v>
      </c>
      <c r="C346" s="439">
        <v>59</v>
      </c>
      <c r="D346" s="439" t="str">
        <f t="shared" si="66"/>
        <v>201559</v>
      </c>
      <c r="E346" s="892" t="s">
        <v>2103</v>
      </c>
      <c r="F346" s="890" t="s">
        <v>2105</v>
      </c>
      <c r="G346" s="892" t="s">
        <v>2106</v>
      </c>
      <c r="H346" s="884" t="s">
        <v>2104</v>
      </c>
      <c r="I346" s="210">
        <v>20136071</v>
      </c>
      <c r="J346" s="704" t="s">
        <v>2055</v>
      </c>
      <c r="K346" s="295">
        <v>2015</v>
      </c>
      <c r="L346" s="548">
        <v>42209</v>
      </c>
      <c r="M346" s="891">
        <v>42221</v>
      </c>
      <c r="N346" s="891">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2" t="str">
        <f>IFERROR(VLOOKUP(E346,'liquidaciones '!$B$2:$C$1048576,2,0),"NO")</f>
        <v>LIQUIDADO</v>
      </c>
      <c r="AO346" s="972" t="str">
        <f>IFERROR(VLOOKUP(E346,'liquidaciones '!$B$2:$I$1048576,8,0),"")</f>
        <v>DORA PINILLA</v>
      </c>
      <c r="AP346" s="339"/>
      <c r="AQ346" s="177" t="str">
        <f t="shared" ca="1" si="64"/>
        <v>SI</v>
      </c>
      <c r="AR346" s="177" t="s">
        <v>2609</v>
      </c>
      <c r="AS346" s="435"/>
      <c r="AT346" s="992"/>
    </row>
    <row r="347" spans="2:46" ht="78.75" x14ac:dyDescent="0.25">
      <c r="B347" s="15">
        <v>341</v>
      </c>
      <c r="C347" s="439">
        <v>173</v>
      </c>
      <c r="D347" s="439" t="str">
        <f t="shared" si="66"/>
        <v>2015173</v>
      </c>
      <c r="E347" s="892" t="s">
        <v>2107</v>
      </c>
      <c r="F347" s="890" t="s">
        <v>2440</v>
      </c>
      <c r="G347" s="892">
        <v>9002141080</v>
      </c>
      <c r="H347" s="884" t="s">
        <v>2108</v>
      </c>
      <c r="I347" s="210">
        <v>213921490</v>
      </c>
      <c r="J347" s="704" t="s">
        <v>1985</v>
      </c>
      <c r="K347" s="295">
        <v>2015</v>
      </c>
      <c r="L347" s="548">
        <v>42213</v>
      </c>
      <c r="M347" s="891">
        <v>42250</v>
      </c>
      <c r="N347" s="891">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09" t="s">
        <v>1970</v>
      </c>
      <c r="Y347" s="42">
        <f t="shared" si="69"/>
        <v>0.65163895175773978</v>
      </c>
      <c r="Z347" s="42">
        <f t="shared" ca="1" si="70"/>
        <v>1</v>
      </c>
      <c r="AA347" s="43">
        <f t="shared" ca="1" si="71"/>
        <v>0.34836104824226022</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2" t="str">
        <f>IFERROR(VLOOKUP(E347,'liquidaciones '!$B$2:$C$1048576,2,0),"NO")</f>
        <v>LIQUIDADO</v>
      </c>
      <c r="AO347" s="972" t="str">
        <f>IFERROR(VLOOKUP(E347,'liquidaciones '!$B$2:$I$1048576,8,0),"")</f>
        <v>JULIETH ANGARITA</v>
      </c>
      <c r="AP347" s="339"/>
      <c r="AQ347" s="177" t="str">
        <f t="shared" ca="1" si="64"/>
        <v>SI</v>
      </c>
      <c r="AR347" s="177" t="s">
        <v>981</v>
      </c>
      <c r="AS347" s="435"/>
      <c r="AT347" s="992"/>
    </row>
    <row r="348" spans="2:46" ht="22.5" x14ac:dyDescent="0.25">
      <c r="B348" s="15">
        <v>342</v>
      </c>
      <c r="C348" s="439">
        <v>307</v>
      </c>
      <c r="D348" s="439" t="str">
        <f t="shared" si="66"/>
        <v>2015307</v>
      </c>
      <c r="E348" s="892" t="s">
        <v>2112</v>
      </c>
      <c r="F348" s="890" t="s">
        <v>2129</v>
      </c>
      <c r="G348" s="892">
        <v>830083523</v>
      </c>
      <c r="H348" s="884" t="s">
        <v>2111</v>
      </c>
      <c r="I348" s="210">
        <v>20880000</v>
      </c>
      <c r="J348" s="704" t="s">
        <v>2112</v>
      </c>
      <c r="K348" s="295">
        <v>2015</v>
      </c>
      <c r="L348" s="548">
        <v>42219</v>
      </c>
      <c r="M348" s="891">
        <v>42226</v>
      </c>
      <c r="N348" s="891">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2113</v>
      </c>
      <c r="AG348" s="173" t="s">
        <v>1440</v>
      </c>
      <c r="AH348" s="281" t="s">
        <v>560</v>
      </c>
      <c r="AI348" s="305" t="s">
        <v>1510</v>
      </c>
      <c r="AJ348" s="305"/>
      <c r="AK348" s="181" t="str">
        <f t="shared" ca="1" si="73"/>
        <v>TERMINO</v>
      </c>
      <c r="AL348" s="310" t="s">
        <v>582</v>
      </c>
      <c r="AM348" s="176" t="s">
        <v>390</v>
      </c>
      <c r="AN348" s="872" t="str">
        <f>IFERROR(VLOOKUP(E348,'liquidaciones '!$B$2:$C$1048576,2,0),"NO")</f>
        <v>LIQUIDADO</v>
      </c>
      <c r="AO348" s="972">
        <f>IFERROR(VLOOKUP(E348,'liquidaciones '!$B$2:$I$1048576,8,0),"")</f>
        <v>0</v>
      </c>
      <c r="AP348" s="339"/>
      <c r="AQ348" s="177" t="str">
        <f t="shared" ca="1" si="64"/>
        <v>SI</v>
      </c>
      <c r="AR348" s="177" t="s">
        <v>2609</v>
      </c>
      <c r="AS348" s="435"/>
      <c r="AT348" s="992"/>
    </row>
    <row r="349" spans="2:46" ht="22.5" x14ac:dyDescent="0.25">
      <c r="B349" s="15">
        <v>343</v>
      </c>
      <c r="C349" s="439">
        <v>266</v>
      </c>
      <c r="D349" s="439" t="str">
        <f t="shared" si="66"/>
        <v>2015266</v>
      </c>
      <c r="E349" s="892" t="s">
        <v>3129</v>
      </c>
      <c r="F349" s="890" t="s">
        <v>2115</v>
      </c>
      <c r="G349" s="892" t="s">
        <v>2116</v>
      </c>
      <c r="H349" s="884" t="s">
        <v>2117</v>
      </c>
      <c r="I349" s="210">
        <v>812000</v>
      </c>
      <c r="J349" s="704" t="s">
        <v>2088</v>
      </c>
      <c r="K349" s="295">
        <v>2015</v>
      </c>
      <c r="L349" s="548">
        <v>42220</v>
      </c>
      <c r="M349" s="891">
        <v>42235</v>
      </c>
      <c r="N349" s="891">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2118</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2168</v>
      </c>
      <c r="AJ349" s="305" t="s">
        <v>1870</v>
      </c>
      <c r="AK349" s="181" t="str">
        <f t="shared" ca="1" si="73"/>
        <v>TERMINO</v>
      </c>
      <c r="AL349" s="310" t="s">
        <v>576</v>
      </c>
      <c r="AM349" s="176" t="s">
        <v>391</v>
      </c>
      <c r="AN349" s="872" t="str">
        <f>IFERROR(VLOOKUP(E349,'liquidaciones '!$B$2:$C$1048576,2,0),"NO")</f>
        <v>LIQUIDADO</v>
      </c>
      <c r="AO349" s="972">
        <f>IFERROR(VLOOKUP(E349,'liquidaciones '!$B$2:$I$1048576,8,0),"")</f>
        <v>0</v>
      </c>
      <c r="AP349" s="339"/>
      <c r="AQ349" s="177" t="str">
        <f t="shared" ca="1" si="64"/>
        <v>NO</v>
      </c>
      <c r="AR349" s="177" t="s">
        <v>2079</v>
      </c>
      <c r="AS349" s="435"/>
      <c r="AT349" s="992"/>
    </row>
    <row r="350" spans="2:46" ht="22.5" x14ac:dyDescent="0.25">
      <c r="B350" s="15">
        <v>344</v>
      </c>
      <c r="C350" s="439">
        <v>144</v>
      </c>
      <c r="D350" s="439" t="str">
        <f t="shared" si="66"/>
        <v>2015144</v>
      </c>
      <c r="E350" s="892" t="s">
        <v>2119</v>
      </c>
      <c r="F350" s="890" t="s">
        <v>2120</v>
      </c>
      <c r="G350" s="892">
        <v>860007590</v>
      </c>
      <c r="H350" s="884" t="s">
        <v>2121</v>
      </c>
      <c r="I350" s="210">
        <v>936000</v>
      </c>
      <c r="J350" s="704" t="s">
        <v>2119</v>
      </c>
      <c r="K350" s="295">
        <v>2015</v>
      </c>
      <c r="L350" s="548">
        <v>42220</v>
      </c>
      <c r="M350" s="891">
        <v>42261</v>
      </c>
      <c r="N350" s="891">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2096</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2" t="str">
        <f>IFERROR(VLOOKUP(E350,'liquidaciones '!$B$2:$C$1048576,2,0),"NO")</f>
        <v>LIQUIDADO</v>
      </c>
      <c r="AO350" s="972">
        <f>IFERROR(VLOOKUP(E350,'liquidaciones '!$B$2:$I$1048576,8,0),"")</f>
        <v>0</v>
      </c>
      <c r="AP350" s="339"/>
      <c r="AQ350" s="177" t="str">
        <f t="shared" ca="1" si="64"/>
        <v>SI</v>
      </c>
      <c r="AR350" s="177" t="s">
        <v>2608</v>
      </c>
      <c r="AS350" s="435"/>
      <c r="AT350" s="992"/>
    </row>
    <row r="351" spans="2:46" ht="30" x14ac:dyDescent="0.25">
      <c r="B351" s="722">
        <v>345</v>
      </c>
      <c r="C351" s="439">
        <v>70</v>
      </c>
      <c r="D351" s="439" t="str">
        <f t="shared" si="66"/>
        <v>201570</v>
      </c>
      <c r="E351" s="892" t="s">
        <v>3194</v>
      </c>
      <c r="F351" s="890" t="s">
        <v>2125</v>
      </c>
      <c r="G351" s="892" t="s">
        <v>2126</v>
      </c>
      <c r="H351" s="884" t="s">
        <v>2127</v>
      </c>
      <c r="I351" s="210">
        <v>31577404</v>
      </c>
      <c r="J351" s="715" t="s">
        <v>2066</v>
      </c>
      <c r="K351" s="295">
        <v>2015</v>
      </c>
      <c r="L351" s="548">
        <v>42208</v>
      </c>
      <c r="M351" s="891">
        <v>42221</v>
      </c>
      <c r="N351" s="891">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09" t="s">
        <v>2096</v>
      </c>
      <c r="Y351" s="42">
        <f t="shared" si="69"/>
        <v>0</v>
      </c>
      <c r="Z351" s="42">
        <f t="shared" ca="1" si="70"/>
        <v>1</v>
      </c>
      <c r="AA351" s="43">
        <f t="shared" ca="1" si="71"/>
        <v>1</v>
      </c>
      <c r="AB351" s="202" t="str">
        <f t="shared" ca="1" si="72"/>
        <v/>
      </c>
      <c r="AC351" s="44" t="str">
        <f t="shared" ref="AC351:AC382" si="74">IF(Y351&lt;=99.9%,"NO","SI")</f>
        <v>NO</v>
      </c>
      <c r="AD351" s="762" t="str">
        <f>VLOOKUP(C351,[2]Hoja4!$A$2:$E$116,5,0)</f>
        <v>COMPRAVENTA</v>
      </c>
      <c r="AE351" s="173" t="s">
        <v>1258</v>
      </c>
      <c r="AF351" s="281" t="s">
        <v>2128</v>
      </c>
      <c r="AG351" s="173" t="s">
        <v>1440</v>
      </c>
      <c r="AH351" s="281" t="s">
        <v>560</v>
      </c>
      <c r="AI351" s="305" t="s">
        <v>1510</v>
      </c>
      <c r="AJ351" s="305" t="s">
        <v>1870</v>
      </c>
      <c r="AK351" s="181" t="str">
        <f t="shared" ca="1" si="73"/>
        <v>TERMINO</v>
      </c>
      <c r="AL351" s="310" t="s">
        <v>576</v>
      </c>
      <c r="AM351" s="176" t="s">
        <v>391</v>
      </c>
      <c r="AN351" s="872" t="str">
        <f>IFERROR(VLOOKUP(E351,'liquidaciones '!$B$2:$C$1048576,2,0),"NO")</f>
        <v>LIQUIDADO</v>
      </c>
      <c r="AO351" s="972">
        <f>IFERROR(VLOOKUP(E351,'liquidaciones '!$B$2:$I$1048576,8,0),"")</f>
        <v>0</v>
      </c>
      <c r="AP351" s="339"/>
      <c r="AQ351" s="177" t="str">
        <f t="shared" ref="AQ351:AQ372" ca="1" si="75">IF((TODAY()-T351&lt;900),"SI","NO")</f>
        <v>NO</v>
      </c>
      <c r="AR351" s="177" t="s">
        <v>1995</v>
      </c>
      <c r="AS351" s="435"/>
      <c r="AT351" s="992"/>
    </row>
    <row r="352" spans="2:46" ht="56.25" x14ac:dyDescent="0.25">
      <c r="B352" s="722">
        <v>346</v>
      </c>
      <c r="C352" s="439">
        <v>151</v>
      </c>
      <c r="D352" s="439" t="str">
        <f t="shared" si="66"/>
        <v>2015151</v>
      </c>
      <c r="E352" s="890" t="s">
        <v>2144</v>
      </c>
      <c r="F352" s="890" t="s">
        <v>2147</v>
      </c>
      <c r="G352" s="892" t="s">
        <v>2145</v>
      </c>
      <c r="H352" s="884" t="s">
        <v>2146</v>
      </c>
      <c r="I352" s="210">
        <v>14917500</v>
      </c>
      <c r="J352" s="704" t="s">
        <v>2065</v>
      </c>
      <c r="K352" s="295">
        <v>2015</v>
      </c>
      <c r="L352" s="548">
        <v>42228</v>
      </c>
      <c r="M352" s="891">
        <v>42247</v>
      </c>
      <c r="N352" s="891">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2148</v>
      </c>
      <c r="Y352" s="42">
        <f t="shared" si="69"/>
        <v>1</v>
      </c>
      <c r="Z352" s="42">
        <f t="shared" ca="1" si="70"/>
        <v>1</v>
      </c>
      <c r="AA352" s="43">
        <f t="shared" ca="1" si="71"/>
        <v>0</v>
      </c>
      <c r="AB352" s="202" t="str">
        <f t="shared" ca="1" si="72"/>
        <v/>
      </c>
      <c r="AC352" s="44" t="str">
        <f t="shared" si="74"/>
        <v>SI</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2" t="str">
        <f>IFERROR(VLOOKUP(E352,'liquidaciones '!$B$2:$C$1048576,2,0),"NO")</f>
        <v>LIQUIDADO</v>
      </c>
      <c r="AO352" s="972">
        <f>IFERROR(VLOOKUP(E352,'liquidaciones '!$B$2:$I$1048576,8,0),"")</f>
        <v>0</v>
      </c>
      <c r="AP352" s="339"/>
      <c r="AQ352" s="177" t="str">
        <f t="shared" ca="1" si="75"/>
        <v>SI</v>
      </c>
      <c r="AR352" s="435" t="s">
        <v>2977</v>
      </c>
      <c r="AS352" s="435"/>
      <c r="AT352" s="992"/>
    </row>
    <row r="353" spans="2:46" ht="33.75" x14ac:dyDescent="0.25">
      <c r="B353" s="722">
        <v>347</v>
      </c>
      <c r="C353" s="439">
        <v>148</v>
      </c>
      <c r="D353" s="439" t="str">
        <f t="shared" si="66"/>
        <v>2015148</v>
      </c>
      <c r="E353" s="892" t="s">
        <v>2149</v>
      </c>
      <c r="F353" s="890" t="s">
        <v>2150</v>
      </c>
      <c r="G353" s="892">
        <v>860536029</v>
      </c>
      <c r="H353" s="884" t="s">
        <v>2151</v>
      </c>
      <c r="I353" s="210">
        <v>880500</v>
      </c>
      <c r="J353" s="704" t="s">
        <v>2149</v>
      </c>
      <c r="K353" s="295">
        <v>2015</v>
      </c>
      <c r="L353" s="548">
        <v>42230</v>
      </c>
      <c r="M353" s="891">
        <v>42262</v>
      </c>
      <c r="N353" s="891">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2096</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2" t="str">
        <f>IFERROR(VLOOKUP(E353,'liquidaciones '!$B$2:$C$1048576,2,0),"NO")</f>
        <v>LIQUIDADO</v>
      </c>
      <c r="AO353" s="972">
        <f>IFERROR(VLOOKUP(E353,'liquidaciones '!$B$2:$I$1048576,8,0),"")</f>
        <v>0</v>
      </c>
      <c r="AP353" s="339"/>
      <c r="AQ353" s="177" t="str">
        <f t="shared" ca="1" si="75"/>
        <v>SI</v>
      </c>
      <c r="AR353" s="177" t="s">
        <v>2606</v>
      </c>
      <c r="AS353" s="435"/>
      <c r="AT353" s="992"/>
    </row>
    <row r="354" spans="2:46" ht="45" x14ac:dyDescent="0.25">
      <c r="B354" s="722">
        <v>348</v>
      </c>
      <c r="C354" s="439">
        <v>155</v>
      </c>
      <c r="D354" s="439" t="str">
        <f t="shared" si="66"/>
        <v>2015155</v>
      </c>
      <c r="E354" s="892" t="s">
        <v>2156</v>
      </c>
      <c r="F354" s="890" t="s">
        <v>2157</v>
      </c>
      <c r="G354" s="892" t="s">
        <v>2158</v>
      </c>
      <c r="H354" s="884" t="s">
        <v>2159</v>
      </c>
      <c r="I354" s="210">
        <v>5000000</v>
      </c>
      <c r="J354" s="704" t="s">
        <v>2109</v>
      </c>
      <c r="K354" s="295">
        <v>2015</v>
      </c>
      <c r="L354" s="548">
        <v>42236</v>
      </c>
      <c r="M354" s="891">
        <v>42244</v>
      </c>
      <c r="N354" s="891">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2160</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2" t="str">
        <f>IFERROR(VLOOKUP(E354,'liquidaciones '!$B$2:$C$1048576,2,0),"NO")</f>
        <v>DEVUELTO</v>
      </c>
      <c r="AO354" s="972" t="str">
        <f>IFERROR(VLOOKUP(E354,'liquidaciones '!$B$2:$I$1048576,8,0),"")</f>
        <v>JULIETH ANGARITA</v>
      </c>
      <c r="AP354" s="339"/>
      <c r="AQ354" s="177" t="str">
        <f t="shared" ca="1" si="75"/>
        <v>SI</v>
      </c>
      <c r="AR354" s="177" t="s">
        <v>2607</v>
      </c>
      <c r="AS354" s="435"/>
      <c r="AT354" s="992"/>
    </row>
    <row r="355" spans="2:46" ht="22.5" x14ac:dyDescent="0.25">
      <c r="B355" s="722">
        <v>349</v>
      </c>
      <c r="C355" s="439">
        <v>146</v>
      </c>
      <c r="D355" s="439" t="str">
        <f t="shared" si="66"/>
        <v>2015146</v>
      </c>
      <c r="E355" s="892" t="s">
        <v>2164</v>
      </c>
      <c r="F355" s="890" t="s">
        <v>33</v>
      </c>
      <c r="G355" s="892">
        <v>860509265</v>
      </c>
      <c r="H355" s="884" t="s">
        <v>2165</v>
      </c>
      <c r="I355" s="210">
        <v>825000</v>
      </c>
      <c r="J355" s="704" t="s">
        <v>2164</v>
      </c>
      <c r="K355" s="295">
        <v>2015</v>
      </c>
      <c r="L355" s="548">
        <v>42237</v>
      </c>
      <c r="M355" s="891">
        <v>42278</v>
      </c>
      <c r="N355" s="891">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2096</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2" t="str">
        <f>IFERROR(VLOOKUP(E355,'liquidaciones '!$B$2:$C$1048576,2,0),"NO")</f>
        <v>LIQUIDADO</v>
      </c>
      <c r="AO355" s="972">
        <f>IFERROR(VLOOKUP(E355,'liquidaciones '!$B$2:$I$1048576,8,0),"")</f>
        <v>0</v>
      </c>
      <c r="AP355" s="339"/>
      <c r="AQ355" s="177" t="str">
        <f t="shared" ca="1" si="75"/>
        <v>SI</v>
      </c>
      <c r="AR355" s="177" t="s">
        <v>2608</v>
      </c>
      <c r="AS355" s="435"/>
      <c r="AT355" s="992"/>
    </row>
    <row r="356" spans="2:46" ht="67.5" x14ac:dyDescent="0.25">
      <c r="B356" s="722">
        <v>350</v>
      </c>
      <c r="C356" s="439">
        <v>282</v>
      </c>
      <c r="D356" s="439" t="str">
        <f t="shared" si="66"/>
        <v>2015282</v>
      </c>
      <c r="E356" s="892" t="s">
        <v>2184</v>
      </c>
      <c r="F356" s="890" t="s">
        <v>2185</v>
      </c>
      <c r="G356" s="892">
        <v>900879521</v>
      </c>
      <c r="H356" s="884" t="s">
        <v>2186</v>
      </c>
      <c r="I356" s="210">
        <v>382091582</v>
      </c>
      <c r="J356" s="704" t="s">
        <v>1986</v>
      </c>
      <c r="K356" s="295">
        <v>2015</v>
      </c>
      <c r="L356" s="548">
        <v>42240</v>
      </c>
      <c r="M356" s="891">
        <v>42261</v>
      </c>
      <c r="N356" s="891">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2187</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2188</v>
      </c>
      <c r="AG356" s="173" t="s">
        <v>1440</v>
      </c>
      <c r="AH356" s="281" t="s">
        <v>560</v>
      </c>
      <c r="AI356" s="305" t="s">
        <v>1510</v>
      </c>
      <c r="AJ356" s="305" t="s">
        <v>1870</v>
      </c>
      <c r="AK356" s="181" t="str">
        <f t="shared" ca="1" si="73"/>
        <v>TERMINO</v>
      </c>
      <c r="AL356" s="310" t="s">
        <v>573</v>
      </c>
      <c r="AM356" s="176" t="s">
        <v>390</v>
      </c>
      <c r="AN356" s="872" t="str">
        <f>IFERROR(VLOOKUP(E356,'liquidaciones '!$B$2:$C$1048576,2,0),"NO")</f>
        <v>LIQUIDADO</v>
      </c>
      <c r="AO356" s="972" t="str">
        <f>IFERROR(VLOOKUP(E356,'liquidaciones '!$B$2:$I$1048576,8,0),"")</f>
        <v>JULIETH ANGARITA</v>
      </c>
      <c r="AP356" s="339"/>
      <c r="AQ356" s="177" t="str">
        <f t="shared" ca="1" si="75"/>
        <v>SI</v>
      </c>
      <c r="AR356" s="177" t="s">
        <v>2609</v>
      </c>
      <c r="AS356" s="435"/>
      <c r="AT356" s="992"/>
    </row>
    <row r="357" spans="2:46" ht="45" x14ac:dyDescent="0.25">
      <c r="B357" s="722">
        <v>351</v>
      </c>
      <c r="C357" s="439">
        <v>325</v>
      </c>
      <c r="D357" s="439" t="str">
        <f t="shared" si="66"/>
        <v>2015325</v>
      </c>
      <c r="E357" s="892" t="s">
        <v>2191</v>
      </c>
      <c r="F357" s="890" t="s">
        <v>1537</v>
      </c>
      <c r="G357" s="892">
        <v>80100229</v>
      </c>
      <c r="H357" s="884" t="s">
        <v>2192</v>
      </c>
      <c r="I357" s="210">
        <v>33000000</v>
      </c>
      <c r="J357" s="704" t="s">
        <v>2191</v>
      </c>
      <c r="K357" s="295">
        <v>2015</v>
      </c>
      <c r="L357" s="548">
        <v>42244</v>
      </c>
      <c r="M357" s="891">
        <v>42249</v>
      </c>
      <c r="N357" s="891">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tr">
        <f>VLOOKUP(C357,[2]Hoja4!$A$2:$E$116,5,0)</f>
        <v>PRESTACION DE SERVICIOS1</v>
      </c>
      <c r="AE357" s="173" t="s">
        <v>1258</v>
      </c>
      <c r="AF357" s="173" t="s">
        <v>2194</v>
      </c>
      <c r="AG357" s="173" t="s">
        <v>1178</v>
      </c>
      <c r="AH357" s="281" t="s">
        <v>559</v>
      </c>
      <c r="AI357" s="305" t="s">
        <v>2193</v>
      </c>
      <c r="AJ357" s="305" t="s">
        <v>1870</v>
      </c>
      <c r="AK357" s="181" t="str">
        <f t="shared" ca="1" si="73"/>
        <v>TERMINO</v>
      </c>
      <c r="AL357" s="310" t="s">
        <v>582</v>
      </c>
      <c r="AM357" s="176" t="s">
        <v>391</v>
      </c>
      <c r="AN357" s="872" t="str">
        <f>IFERROR(VLOOKUP(E357,'liquidaciones '!$B$2:$C$1048576,2,0),"NO")</f>
        <v>LIQUIDADO</v>
      </c>
      <c r="AO357" s="972">
        <f>IFERROR(VLOOKUP(E357,'liquidaciones '!$B$2:$I$1048576,8,0),"")</f>
        <v>0</v>
      </c>
      <c r="AP357" s="339"/>
      <c r="AQ357" s="177" t="str">
        <f t="shared" ca="1" si="75"/>
        <v>NO</v>
      </c>
      <c r="AR357" s="177"/>
      <c r="AS357" s="435"/>
      <c r="AT357" s="992"/>
    </row>
    <row r="358" spans="2:46" ht="33.75" x14ac:dyDescent="0.25">
      <c r="B358" s="722">
        <v>352</v>
      </c>
      <c r="C358" s="439">
        <v>187</v>
      </c>
      <c r="D358" s="439" t="str">
        <f t="shared" si="66"/>
        <v>2015187</v>
      </c>
      <c r="E358" s="892" t="s">
        <v>2196</v>
      </c>
      <c r="F358" s="890" t="s">
        <v>2197</v>
      </c>
      <c r="G358" s="892" t="s">
        <v>2198</v>
      </c>
      <c r="H358" s="884" t="s">
        <v>2199</v>
      </c>
      <c r="I358" s="210">
        <v>19141000</v>
      </c>
      <c r="J358" s="704" t="s">
        <v>2122</v>
      </c>
      <c r="K358" s="295">
        <v>2015</v>
      </c>
      <c r="L358" s="548">
        <v>42248</v>
      </c>
      <c r="M358" s="891">
        <v>42262</v>
      </c>
      <c r="N358" s="891">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2200</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2" t="str">
        <f>IFERROR(VLOOKUP(E358,'liquidaciones '!$B$2:$C$1048576,2,0),"NO")</f>
        <v>LIQUIDADO</v>
      </c>
      <c r="AO358" s="972">
        <f>IFERROR(VLOOKUP(E358,'liquidaciones '!$B$2:$I$1048576,8,0),"")</f>
        <v>0</v>
      </c>
      <c r="AP358" s="339"/>
      <c r="AQ358" s="177" t="str">
        <f t="shared" ca="1" si="75"/>
        <v>NO</v>
      </c>
      <c r="AR358" s="177" t="s">
        <v>1573</v>
      </c>
      <c r="AS358" s="435"/>
      <c r="AT358" s="992"/>
    </row>
    <row r="359" spans="2:46" ht="22.5" x14ac:dyDescent="0.25">
      <c r="B359" s="722">
        <v>353</v>
      </c>
      <c r="C359" s="439">
        <v>326</v>
      </c>
      <c r="D359" s="439" t="str">
        <f t="shared" si="66"/>
        <v>2015326</v>
      </c>
      <c r="E359" s="892" t="s">
        <v>2201</v>
      </c>
      <c r="F359" s="890" t="s">
        <v>142</v>
      </c>
      <c r="G359" s="892">
        <v>800026212</v>
      </c>
      <c r="H359" s="884" t="s">
        <v>2202</v>
      </c>
      <c r="I359" s="210">
        <v>72727824</v>
      </c>
      <c r="J359" s="704" t="s">
        <v>2201</v>
      </c>
      <c r="K359" s="295">
        <v>2015</v>
      </c>
      <c r="L359" s="548">
        <v>42236</v>
      </c>
      <c r="M359" s="891">
        <v>42244</v>
      </c>
      <c r="N359" s="891">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09" t="s">
        <v>2118</v>
      </c>
      <c r="Y359" s="42">
        <f t="shared" si="69"/>
        <v>0</v>
      </c>
      <c r="Z359" s="42">
        <f t="shared" ca="1" si="70"/>
        <v>1</v>
      </c>
      <c r="AA359" s="43">
        <f t="shared" ca="1" si="71"/>
        <v>1</v>
      </c>
      <c r="AB359" s="202" t="str">
        <f t="shared" ca="1" si="72"/>
        <v/>
      </c>
      <c r="AC359" s="44" t="str">
        <f t="shared" si="74"/>
        <v>NO</v>
      </c>
      <c r="AD359" s="762" t="str">
        <f>VLOOKUP(C359,[2]Hoja4!$A$2:$E$116,5,0)</f>
        <v>NA</v>
      </c>
      <c r="AE359" s="173" t="s">
        <v>1258</v>
      </c>
      <c r="AF359" s="281" t="s">
        <v>2203</v>
      </c>
      <c r="AG359" s="173" t="s">
        <v>1440</v>
      </c>
      <c r="AH359" s="281" t="s">
        <v>560</v>
      </c>
      <c r="AI359" s="305" t="s">
        <v>1510</v>
      </c>
      <c r="AJ359" s="305" t="s">
        <v>1870</v>
      </c>
      <c r="AK359" s="181" t="str">
        <f t="shared" ca="1" si="73"/>
        <v>TERMINO</v>
      </c>
      <c r="AL359" s="310" t="s">
        <v>582</v>
      </c>
      <c r="AM359" s="176" t="s">
        <v>390</v>
      </c>
      <c r="AN359" s="872" t="str">
        <f>IFERROR(VLOOKUP(E359,'liquidaciones '!$B$2:$C$1048576,2,0),"NO")</f>
        <v>LIQUIDADO</v>
      </c>
      <c r="AO359" s="972" t="str">
        <f>IFERROR(VLOOKUP(E359,'liquidaciones '!$B$2:$I$1048576,8,0),"")</f>
        <v>GIOVANNI SUAREZ</v>
      </c>
      <c r="AP359" s="339"/>
      <c r="AQ359" s="177" t="str">
        <f t="shared" ca="1" si="75"/>
        <v>NO</v>
      </c>
      <c r="AR359" s="177" t="s">
        <v>1995</v>
      </c>
      <c r="AS359" s="435"/>
      <c r="AT359" s="992"/>
    </row>
    <row r="360" spans="2:46" ht="78.75" x14ac:dyDescent="0.25">
      <c r="B360" s="722">
        <v>354</v>
      </c>
      <c r="C360" s="439">
        <v>57</v>
      </c>
      <c r="D360" s="439" t="str">
        <f t="shared" si="66"/>
        <v>201557</v>
      </c>
      <c r="E360" s="892" t="s">
        <v>2207</v>
      </c>
      <c r="F360" s="280" t="s">
        <v>2208</v>
      </c>
      <c r="G360" s="306">
        <v>9008873661</v>
      </c>
      <c r="H360" s="884" t="s">
        <v>2209</v>
      </c>
      <c r="I360" s="210">
        <v>154954934</v>
      </c>
      <c r="J360" s="704" t="s">
        <v>2161</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2210</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2" t="str">
        <f>IFERROR(VLOOKUP(E360,'liquidaciones '!$B$2:$C$1048576,2,0),"NO")</f>
        <v>LIQUIDADO</v>
      </c>
      <c r="AO360" s="972" t="str">
        <f>IFERROR(VLOOKUP(E360,'liquidaciones '!$B$2:$I$1048576,8,0),"")</f>
        <v>MANUEL ROJAS</v>
      </c>
      <c r="AP360" s="339"/>
      <c r="AQ360" s="177" t="str">
        <f t="shared" ca="1" si="75"/>
        <v>SI</v>
      </c>
      <c r="AR360" s="177" t="s">
        <v>2919</v>
      </c>
      <c r="AS360" s="435"/>
      <c r="AT360" s="992"/>
    </row>
    <row r="361" spans="2:46" ht="45" x14ac:dyDescent="0.25">
      <c r="B361" s="722">
        <v>355</v>
      </c>
      <c r="C361" s="439">
        <v>164</v>
      </c>
      <c r="D361" s="439" t="str">
        <f t="shared" si="66"/>
        <v>2015164</v>
      </c>
      <c r="E361" s="892" t="s">
        <v>2213</v>
      </c>
      <c r="F361" s="280" t="s">
        <v>2214</v>
      </c>
      <c r="G361" s="892" t="s">
        <v>2215</v>
      </c>
      <c r="H361" s="884" t="s">
        <v>2216</v>
      </c>
      <c r="I361" s="210">
        <v>28805000</v>
      </c>
      <c r="J361" s="704" t="s">
        <v>2217</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09" t="s">
        <v>2218</v>
      </c>
      <c r="Y361" s="42">
        <f t="shared" si="69"/>
        <v>0.42682693976740149</v>
      </c>
      <c r="Z361" s="42">
        <f t="shared" ca="1" si="70"/>
        <v>1</v>
      </c>
      <c r="AA361" s="43">
        <f t="shared" ca="1" si="71"/>
        <v>0.57317306023259851</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2" t="str">
        <f>IFERROR(VLOOKUP(E361,'liquidaciones '!$B$2:$C$1048576,2,0),"NO")</f>
        <v>LIQUIDADO</v>
      </c>
      <c r="AO361" s="972" t="str">
        <f>IFERROR(VLOOKUP(E361,'liquidaciones '!$B$2:$I$1048576,8,0),"")</f>
        <v>GIOVANNI SUAREZ</v>
      </c>
      <c r="AP361" s="339"/>
      <c r="AQ361" s="177" t="str">
        <f t="shared" ca="1" si="75"/>
        <v>SI</v>
      </c>
      <c r="AR361" s="177" t="s">
        <v>2605</v>
      </c>
      <c r="AS361" s="435"/>
      <c r="AT361" s="992"/>
    </row>
    <row r="362" spans="2:46" ht="33.75" x14ac:dyDescent="0.25">
      <c r="B362" s="722">
        <v>356</v>
      </c>
      <c r="C362" s="439">
        <v>186</v>
      </c>
      <c r="D362" s="439" t="str">
        <f t="shared" si="66"/>
        <v>2015186</v>
      </c>
      <c r="E362" s="892" t="s">
        <v>2219</v>
      </c>
      <c r="F362" s="890" t="s">
        <v>2220</v>
      </c>
      <c r="G362" s="892" t="s">
        <v>2221</v>
      </c>
      <c r="H362" s="884" t="s">
        <v>2222</v>
      </c>
      <c r="I362" s="210">
        <v>6000000</v>
      </c>
      <c r="J362" s="704" t="s">
        <v>2162</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2223</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2" t="str">
        <f>IFERROR(VLOOKUP(E362,'liquidaciones '!$B$2:$C$1048576,2,0),"NO")</f>
        <v>LIQUIDADO</v>
      </c>
      <c r="AO362" s="972">
        <f>IFERROR(VLOOKUP(E362,'liquidaciones '!$B$2:$I$1048576,8,0),"")</f>
        <v>0</v>
      </c>
      <c r="AP362" s="339"/>
      <c r="AQ362" s="177" t="str">
        <f t="shared" ca="1" si="75"/>
        <v>NO</v>
      </c>
      <c r="AR362" s="177" t="s">
        <v>1573</v>
      </c>
      <c r="AS362" s="435"/>
      <c r="AT362" s="992"/>
    </row>
    <row r="363" spans="2:46" ht="22.5" x14ac:dyDescent="0.25">
      <c r="B363" s="722">
        <v>357</v>
      </c>
      <c r="C363" s="439">
        <v>145</v>
      </c>
      <c r="D363" s="439" t="str">
        <f t="shared" si="66"/>
        <v>2015145</v>
      </c>
      <c r="E363" s="892" t="s">
        <v>2224</v>
      </c>
      <c r="F363" s="280" t="s">
        <v>2225</v>
      </c>
      <c r="G363" s="892">
        <v>860009759</v>
      </c>
      <c r="H363" s="884" t="s">
        <v>2226</v>
      </c>
      <c r="I363" s="210">
        <v>764100</v>
      </c>
      <c r="J363" s="704" t="s">
        <v>2224</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2118</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2" t="str">
        <f>IFERROR(VLOOKUP(E363,'liquidaciones '!$B$2:$C$1048576,2,0),"NO")</f>
        <v>LIQUIDADO</v>
      </c>
      <c r="AO363" s="972">
        <f>IFERROR(VLOOKUP(E363,'liquidaciones '!$B$2:$I$1048576,8,0),"")</f>
        <v>0</v>
      </c>
      <c r="AP363" s="339"/>
      <c r="AQ363" s="177" t="str">
        <f t="shared" ca="1" si="75"/>
        <v>SI</v>
      </c>
      <c r="AR363" s="177" t="s">
        <v>2606</v>
      </c>
      <c r="AS363" s="435"/>
      <c r="AT363" s="992"/>
    </row>
    <row r="364" spans="2:46" ht="33.75" x14ac:dyDescent="0.25">
      <c r="B364" s="722">
        <v>358</v>
      </c>
      <c r="C364" s="439">
        <v>134</v>
      </c>
      <c r="D364" s="439" t="str">
        <f t="shared" si="66"/>
        <v>2015134</v>
      </c>
      <c r="E364" s="892" t="s">
        <v>2228</v>
      </c>
      <c r="F364" s="280" t="s">
        <v>2229</v>
      </c>
      <c r="G364" s="892">
        <v>17024109</v>
      </c>
      <c r="H364" s="884" t="s">
        <v>2230</v>
      </c>
      <c r="I364" s="210">
        <v>6660000</v>
      </c>
      <c r="J364" s="704" t="s">
        <v>2228</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2118</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2" t="str">
        <f>IFERROR(VLOOKUP(E364,'liquidaciones '!$B$2:$C$1048576,2,0),"NO")</f>
        <v>LIQUIDADO</v>
      </c>
      <c r="AO364" s="972">
        <f>IFERROR(VLOOKUP(E364,'liquidaciones '!$B$2:$I$1048576,8,0),"")</f>
        <v>0</v>
      </c>
      <c r="AP364" s="339"/>
      <c r="AQ364" s="177" t="str">
        <f t="shared" ca="1" si="75"/>
        <v>NO</v>
      </c>
      <c r="AR364" s="177" t="s">
        <v>1511</v>
      </c>
      <c r="AS364" s="435"/>
      <c r="AT364" s="992"/>
    </row>
    <row r="365" spans="2:46" ht="45" x14ac:dyDescent="0.25">
      <c r="B365" s="722">
        <v>359</v>
      </c>
      <c r="C365" s="439">
        <v>181</v>
      </c>
      <c r="D365" s="439" t="str">
        <f t="shared" si="66"/>
        <v>2015181</v>
      </c>
      <c r="E365" s="892" t="s">
        <v>2232</v>
      </c>
      <c r="F365" s="280" t="s">
        <v>2233</v>
      </c>
      <c r="G365" s="892">
        <v>830143378</v>
      </c>
      <c r="H365" s="884" t="s">
        <v>2234</v>
      </c>
      <c r="I365" s="210">
        <v>436914000</v>
      </c>
      <c r="J365" s="704" t="s">
        <v>2195</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2235</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2" t="str">
        <f>IFERROR(VLOOKUP(E365,'liquidaciones '!$B$2:$C$1048576,2,0),"NO")</f>
        <v>LIQUIDADO</v>
      </c>
      <c r="AO365" s="972" t="str">
        <f>IFERROR(VLOOKUP(E365,'liquidaciones '!$B$2:$I$1048576,8,0),"")</f>
        <v>DORA PINILLA</v>
      </c>
      <c r="AP365" s="339"/>
      <c r="AQ365" s="177" t="str">
        <f t="shared" ca="1" si="75"/>
        <v>SI</v>
      </c>
      <c r="AR365" s="177" t="s">
        <v>1511</v>
      </c>
      <c r="AS365" s="435"/>
      <c r="AT365" s="992"/>
    </row>
    <row r="366" spans="2:46" ht="67.5" x14ac:dyDescent="0.25">
      <c r="B366" s="722">
        <v>360</v>
      </c>
      <c r="C366" s="439">
        <v>185</v>
      </c>
      <c r="D366" s="439" t="str">
        <f t="shared" si="66"/>
        <v>2015185</v>
      </c>
      <c r="E366" s="892" t="s">
        <v>2236</v>
      </c>
      <c r="F366" s="890" t="s">
        <v>2011</v>
      </c>
      <c r="G366" s="892">
        <v>8600669427</v>
      </c>
      <c r="H366" s="884" t="s">
        <v>2237</v>
      </c>
      <c r="I366" s="210">
        <v>550762000</v>
      </c>
      <c r="J366" s="704" t="s">
        <v>2238</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2239</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2" t="str">
        <f>IFERROR(VLOOKUP(E366,'liquidaciones '!$B$2:$C$1048576,2,0),"NO")</f>
        <v>LIQUIDADO</v>
      </c>
      <c r="AO366" s="972" t="str">
        <f>IFERROR(VLOOKUP(E366,'liquidaciones '!$B$2:$I$1048576,8,0),"")</f>
        <v>DORA PINILLA</v>
      </c>
      <c r="AP366" s="339"/>
      <c r="AQ366" s="177" t="str">
        <f t="shared" ca="1" si="75"/>
        <v>SI</v>
      </c>
      <c r="AR366" s="177" t="s">
        <v>981</v>
      </c>
      <c r="AS366" s="435"/>
      <c r="AT366" s="992"/>
    </row>
    <row r="367" spans="2:46" ht="33.75" x14ac:dyDescent="0.25">
      <c r="B367" s="722">
        <v>361</v>
      </c>
      <c r="C367" s="439">
        <v>335</v>
      </c>
      <c r="D367" s="439" t="str">
        <f t="shared" si="66"/>
        <v>2015335</v>
      </c>
      <c r="E367" s="892" t="s">
        <v>2240</v>
      </c>
      <c r="F367" s="280" t="s">
        <v>1346</v>
      </c>
      <c r="G367" s="892" t="s">
        <v>2241</v>
      </c>
      <c r="H367" s="884" t="s">
        <v>2242</v>
      </c>
      <c r="I367" s="210">
        <v>2742000</v>
      </c>
      <c r="J367" s="704" t="s">
        <v>2243</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2244</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2" t="str">
        <f>IFERROR(VLOOKUP(E367,'liquidaciones '!$B$2:$C$1048576,2,0),"NO")</f>
        <v>LIQUIDADO</v>
      </c>
      <c r="AO367" s="972" t="str">
        <f>IFERROR(VLOOKUP(E367,'liquidaciones '!$B$2:$I$1048576,8,0),"")</f>
        <v>JULIETH ANGARITA</v>
      </c>
      <c r="AP367" s="339"/>
      <c r="AQ367" s="177" t="str">
        <f t="shared" ca="1" si="75"/>
        <v>SI</v>
      </c>
      <c r="AR367" s="177" t="s">
        <v>1573</v>
      </c>
      <c r="AS367" s="435"/>
      <c r="AT367" s="992"/>
    </row>
    <row r="368" spans="2:46" ht="56.25" x14ac:dyDescent="0.25">
      <c r="B368" s="722">
        <v>362</v>
      </c>
      <c r="C368" s="439">
        <v>74</v>
      </c>
      <c r="D368" s="439" t="str">
        <f t="shared" si="66"/>
        <v>201574</v>
      </c>
      <c r="E368" s="306" t="s">
        <v>2247</v>
      </c>
      <c r="F368" s="280" t="s">
        <v>2248</v>
      </c>
      <c r="G368" s="892">
        <v>900254691</v>
      </c>
      <c r="H368" s="884" t="s">
        <v>2249</v>
      </c>
      <c r="I368" s="210">
        <v>1512217703</v>
      </c>
      <c r="J368" s="704" t="s">
        <v>2250</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2251</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2252</v>
      </c>
      <c r="AG368" s="173" t="s">
        <v>1440</v>
      </c>
      <c r="AH368" s="281" t="s">
        <v>560</v>
      </c>
      <c r="AI368" s="305" t="s">
        <v>1510</v>
      </c>
      <c r="AJ368" s="305" t="s">
        <v>1870</v>
      </c>
      <c r="AK368" s="181" t="str">
        <f t="shared" ca="1" si="73"/>
        <v>TERMINO</v>
      </c>
      <c r="AL368" s="310" t="s">
        <v>575</v>
      </c>
      <c r="AM368" s="176" t="s">
        <v>390</v>
      </c>
      <c r="AN368" s="872" t="str">
        <f>IFERROR(VLOOKUP(E368,'liquidaciones '!$B$2:$C$1048576,2,0),"NO")</f>
        <v>LIQUIDADO</v>
      </c>
      <c r="AO368" s="972" t="str">
        <f>IFERROR(VLOOKUP(E368,'liquidaciones '!$B$2:$I$1048576,8,0),"")</f>
        <v>DORA PINILLA</v>
      </c>
      <c r="AP368" s="339"/>
      <c r="AQ368" s="177" t="str">
        <f t="shared" ca="1" si="75"/>
        <v>SI</v>
      </c>
      <c r="AR368" s="177" t="s">
        <v>1995</v>
      </c>
      <c r="AS368" s="435"/>
      <c r="AT368" s="992"/>
    </row>
    <row r="369" spans="2:46" ht="67.5" x14ac:dyDescent="0.25">
      <c r="B369" s="722">
        <v>363</v>
      </c>
      <c r="C369" s="439">
        <v>184</v>
      </c>
      <c r="D369" s="439" t="str">
        <f t="shared" si="66"/>
        <v>2015184</v>
      </c>
      <c r="E369" s="892" t="s">
        <v>2253</v>
      </c>
      <c r="F369" s="890" t="s">
        <v>2254</v>
      </c>
      <c r="G369" s="892">
        <v>890900608</v>
      </c>
      <c r="H369" s="884" t="s">
        <v>2255</v>
      </c>
      <c r="I369" s="210">
        <v>37372300</v>
      </c>
      <c r="J369" s="704" t="s">
        <v>2205</v>
      </c>
      <c r="K369" s="295">
        <v>2015</v>
      </c>
      <c r="L369" s="548">
        <v>42314</v>
      </c>
      <c r="M369" s="296">
        <v>42331</v>
      </c>
      <c r="N369" s="296">
        <v>42392</v>
      </c>
      <c r="O369" s="127">
        <f>COUNTA(Modificaciones!I369,Modificaciones!K369,Modificaciones!M369,Modificaciones!O369)</f>
        <v>0</v>
      </c>
      <c r="P369" s="128">
        <f>VLOOKUP(E369,Modificaciones!$B$7:$Q$400,16,0)</f>
        <v>0</v>
      </c>
      <c r="Q369" s="129" t="s">
        <v>2449</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2256</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2" t="str">
        <f>IFERROR(VLOOKUP(E369,'liquidaciones '!$B$2:$C$1048576,2,0),"NO")</f>
        <v>LIQUIDADO</v>
      </c>
      <c r="AO369" s="972" t="str">
        <f>IFERROR(VLOOKUP(E369,'liquidaciones '!$B$2:$I$1048576,8,0),"")</f>
        <v>JULIETH ANGARITA</v>
      </c>
      <c r="AP369" s="339"/>
      <c r="AQ369" s="177" t="str">
        <f t="shared" ca="1" si="75"/>
        <v>SI</v>
      </c>
      <c r="AR369" s="177" t="s">
        <v>981</v>
      </c>
      <c r="AS369" s="435"/>
      <c r="AT369" s="992"/>
    </row>
    <row r="370" spans="2:46" ht="45" x14ac:dyDescent="0.25">
      <c r="B370" s="722">
        <v>364</v>
      </c>
      <c r="C370" s="439">
        <v>308</v>
      </c>
      <c r="D370" s="439" t="str">
        <f t="shared" si="66"/>
        <v>2015308</v>
      </c>
      <c r="E370" s="892" t="s">
        <v>2261</v>
      </c>
      <c r="F370" s="280" t="s">
        <v>2262</v>
      </c>
      <c r="G370" s="892">
        <v>900908963</v>
      </c>
      <c r="H370" s="884" t="s">
        <v>2263</v>
      </c>
      <c r="I370" s="210">
        <v>96032643</v>
      </c>
      <c r="J370" s="704" t="s">
        <v>2264</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2265</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2266</v>
      </c>
      <c r="AG370" s="173" t="s">
        <v>1440</v>
      </c>
      <c r="AH370" s="281" t="s">
        <v>560</v>
      </c>
      <c r="AI370" s="305" t="s">
        <v>1510</v>
      </c>
      <c r="AJ370" s="305" t="s">
        <v>1870</v>
      </c>
      <c r="AK370" s="181" t="str">
        <f t="shared" ca="1" si="73"/>
        <v>TERMINO</v>
      </c>
      <c r="AL370" s="310" t="s">
        <v>574</v>
      </c>
      <c r="AM370" s="176" t="s">
        <v>390</v>
      </c>
      <c r="AN370" s="872" t="str">
        <f>IFERROR(VLOOKUP(E370,'liquidaciones '!$B$2:$C$1048576,2,0),"NO")</f>
        <v>LIQUIDADO</v>
      </c>
      <c r="AO370" s="972">
        <f>IFERROR(VLOOKUP(E370,'liquidaciones '!$B$2:$I$1048576,8,0),"")</f>
        <v>0</v>
      </c>
      <c r="AP370" s="339"/>
      <c r="AQ370" s="177" t="str">
        <f t="shared" ca="1" si="75"/>
        <v>SI</v>
      </c>
      <c r="AR370" s="177" t="s">
        <v>2609</v>
      </c>
      <c r="AS370" s="435"/>
      <c r="AT370" s="992"/>
    </row>
    <row r="371" spans="2:46" ht="56.25" x14ac:dyDescent="0.25">
      <c r="B371" s="722">
        <v>365</v>
      </c>
      <c r="C371" s="439">
        <v>367</v>
      </c>
      <c r="D371" s="439" t="str">
        <f t="shared" si="66"/>
        <v>2015367</v>
      </c>
      <c r="E371" s="306" t="s">
        <v>2272</v>
      </c>
      <c r="F371" s="280" t="s">
        <v>2271</v>
      </c>
      <c r="G371" s="892" t="s">
        <v>2273</v>
      </c>
      <c r="H371" s="884" t="s">
        <v>2274</v>
      </c>
      <c r="I371" s="210">
        <v>17340258</v>
      </c>
      <c r="J371" s="704" t="s">
        <v>2275</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2276</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2" t="str">
        <f>IFERROR(VLOOKUP(E371,'liquidaciones '!$B$2:$C$1048576,2,0),"NO")</f>
        <v>LIQUIDADO</v>
      </c>
      <c r="AO371" s="972" t="str">
        <f>IFERROR(VLOOKUP(E371,'liquidaciones '!$B$2:$I$1048576,8,0),"")</f>
        <v>JULIETH ANGARITA</v>
      </c>
      <c r="AP371" s="339"/>
      <c r="AQ371" s="177" t="str">
        <f t="shared" ca="1" si="75"/>
        <v>NO</v>
      </c>
      <c r="AR371" s="177" t="s">
        <v>981</v>
      </c>
      <c r="AS371" s="435"/>
      <c r="AT371" s="992"/>
    </row>
    <row r="372" spans="2:46" ht="56.25" x14ac:dyDescent="0.25">
      <c r="B372" s="722">
        <v>366</v>
      </c>
      <c r="C372" s="439">
        <v>366</v>
      </c>
      <c r="D372" s="439" t="str">
        <f t="shared" si="66"/>
        <v>2015366</v>
      </c>
      <c r="E372" s="892" t="s">
        <v>2350</v>
      </c>
      <c r="F372" s="890" t="s">
        <v>2352</v>
      </c>
      <c r="G372" s="892">
        <v>72007383</v>
      </c>
      <c r="H372" s="884" t="s">
        <v>2351</v>
      </c>
      <c r="I372" s="210">
        <v>27500000</v>
      </c>
      <c r="J372" s="704" t="s">
        <v>2350</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09" t="s">
        <v>1970</v>
      </c>
      <c r="Y372" s="42">
        <f t="shared" si="69"/>
        <v>0.94</v>
      </c>
      <c r="Z372" s="42">
        <f t="shared" ca="1" si="70"/>
        <v>1</v>
      </c>
      <c r="AA372" s="43">
        <f t="shared" ca="1" si="71"/>
        <v>6.0000000000000053E-2</v>
      </c>
      <c r="AB372" s="202" t="str">
        <f t="shared" ca="1" si="72"/>
        <v/>
      </c>
      <c r="AC372" s="44" t="str">
        <f t="shared" si="74"/>
        <v>NO</v>
      </c>
      <c r="AD372" s="762" t="s">
        <v>2910</v>
      </c>
      <c r="AE372" s="173" t="s">
        <v>1258</v>
      </c>
      <c r="AF372" s="281" t="s">
        <v>2393</v>
      </c>
      <c r="AG372" s="173" t="s">
        <v>1178</v>
      </c>
      <c r="AH372" s="281" t="s">
        <v>559</v>
      </c>
      <c r="AI372" s="305"/>
      <c r="AJ372" s="305" t="s">
        <v>1870</v>
      </c>
      <c r="AK372" s="181" t="str">
        <f t="shared" ca="1" si="73"/>
        <v>TERMINO</v>
      </c>
      <c r="AL372" s="310" t="s">
        <v>582</v>
      </c>
      <c r="AM372" s="176" t="s">
        <v>390</v>
      </c>
      <c r="AN372" s="872" t="str">
        <f>IFERROR(VLOOKUP(E372,'liquidaciones '!$B$2:$C$1048576,2,0),"NO")</f>
        <v>LIQUIDADO</v>
      </c>
      <c r="AO372" s="972">
        <f>IFERROR(VLOOKUP(E372,'liquidaciones '!$B$2:$I$1048576,8,0),"")</f>
        <v>0</v>
      </c>
      <c r="AP372" s="339"/>
      <c r="AQ372" s="177" t="str">
        <f t="shared" ca="1" si="75"/>
        <v>SI</v>
      </c>
      <c r="AR372" s="177" t="s">
        <v>981</v>
      </c>
      <c r="AS372" s="435"/>
      <c r="AT372" s="992"/>
    </row>
    <row r="373" spans="2:46" ht="45" x14ac:dyDescent="0.25">
      <c r="B373" s="722">
        <v>367</v>
      </c>
      <c r="C373" s="439">
        <v>365</v>
      </c>
      <c r="D373" s="439" t="str">
        <f t="shared" si="66"/>
        <v>2015365</v>
      </c>
      <c r="E373" s="892" t="s">
        <v>2365</v>
      </c>
      <c r="F373" s="280" t="s">
        <v>2366</v>
      </c>
      <c r="G373" s="892">
        <v>79634149</v>
      </c>
      <c r="H373" s="884" t="s">
        <v>2378</v>
      </c>
      <c r="I373" s="837">
        <v>910786703.20000005</v>
      </c>
      <c r="J373" s="704" t="s">
        <v>2367</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2368</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2369</v>
      </c>
      <c r="AG373" s="173" t="s">
        <v>1440</v>
      </c>
      <c r="AH373" s="281" t="s">
        <v>560</v>
      </c>
      <c r="AI373" s="305" t="s">
        <v>1510</v>
      </c>
      <c r="AJ373" s="305" t="s">
        <v>1870</v>
      </c>
      <c r="AK373" s="181" t="str">
        <f t="shared" ca="1" si="73"/>
        <v>TERMINO</v>
      </c>
      <c r="AL373" s="310" t="s">
        <v>582</v>
      </c>
      <c r="AM373" s="176"/>
      <c r="AN373" s="872" t="str">
        <f>IFERROR(VLOOKUP(E373,'liquidaciones '!$B$2:$C$1048576,2,0),"NO")</f>
        <v>DEVUELTO</v>
      </c>
      <c r="AO373" s="972" t="str">
        <f>IFERROR(VLOOKUP(E373,'liquidaciones '!$B$2:$I$1048576,8,0),"")</f>
        <v>JULIETH ANGARITA</v>
      </c>
      <c r="AP373" s="339"/>
      <c r="AQ373" s="177"/>
      <c r="AR373" s="177" t="s">
        <v>1995</v>
      </c>
      <c r="AS373" s="435"/>
      <c r="AT373" s="992"/>
    </row>
    <row r="374" spans="2:46" ht="22.5" x14ac:dyDescent="0.25">
      <c r="B374" s="722">
        <v>368</v>
      </c>
      <c r="C374" s="439">
        <v>368</v>
      </c>
      <c r="D374" s="439" t="str">
        <f t="shared" si="66"/>
        <v>2015368</v>
      </c>
      <c r="E374" s="892" t="s">
        <v>2359</v>
      </c>
      <c r="F374" s="280" t="s">
        <v>2361</v>
      </c>
      <c r="G374" s="892" t="s">
        <v>2362</v>
      </c>
      <c r="H374" s="884" t="s">
        <v>2360</v>
      </c>
      <c r="I374" s="210">
        <v>8404200</v>
      </c>
      <c r="J374" s="704" t="s">
        <v>2363</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2364</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2267</v>
      </c>
      <c r="AG374" s="173" t="s">
        <v>1443</v>
      </c>
      <c r="AH374" s="281" t="s">
        <v>560</v>
      </c>
      <c r="AI374" s="305"/>
      <c r="AJ374" s="305" t="s">
        <v>1870</v>
      </c>
      <c r="AK374" s="181" t="str">
        <f t="shared" ca="1" si="73"/>
        <v>TERMINO</v>
      </c>
      <c r="AL374" s="310" t="s">
        <v>576</v>
      </c>
      <c r="AM374" s="176" t="s">
        <v>391</v>
      </c>
      <c r="AN374" s="872" t="str">
        <f>IFERROR(VLOOKUP(E374,'liquidaciones '!$B$2:$C$1048576,2,0),"NO")</f>
        <v>LIQUIDADO</v>
      </c>
      <c r="AO374" s="972">
        <f>IFERROR(VLOOKUP(E374,'liquidaciones '!$B$2:$I$1048576,8,0),"")</f>
        <v>0</v>
      </c>
      <c r="AP374" s="339"/>
      <c r="AQ374" s="177" t="str">
        <f t="shared" ref="AQ374:AQ401" ca="1" si="76">IF((TODAY()-T374&lt;900),"SI","NO")</f>
        <v>NO</v>
      </c>
      <c r="AR374" s="177" t="s">
        <v>981</v>
      </c>
      <c r="AS374" s="435"/>
      <c r="AT374" s="992"/>
    </row>
    <row r="375" spans="2:46" ht="56.25" x14ac:dyDescent="0.25">
      <c r="B375" s="722">
        <v>369</v>
      </c>
      <c r="C375" s="439">
        <v>160</v>
      </c>
      <c r="D375" s="439" t="str">
        <f t="shared" si="66"/>
        <v>2015160</v>
      </c>
      <c r="E375" s="892" t="s">
        <v>2370</v>
      </c>
      <c r="F375" s="890" t="s">
        <v>2371</v>
      </c>
      <c r="G375" s="306" t="s">
        <v>2372</v>
      </c>
      <c r="H375" s="884" t="s">
        <v>2373</v>
      </c>
      <c r="I375" s="210">
        <v>345000000</v>
      </c>
      <c r="J375" s="704" t="s">
        <v>2374</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09" t="s">
        <v>2375</v>
      </c>
      <c r="Y375" s="42">
        <f t="shared" si="69"/>
        <v>0.99786321545893719</v>
      </c>
      <c r="Z375" s="42">
        <f t="shared" ca="1" si="70"/>
        <v>1</v>
      </c>
      <c r="AA375" s="43">
        <f t="shared" ca="1" si="71"/>
        <v>2.1367845410628084E-3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2" t="str">
        <f>IFERROR(VLOOKUP(E375,'liquidaciones '!$B$2:$C$1048576,2,0),"NO")</f>
        <v>LIQUIDADO</v>
      </c>
      <c r="AO375" s="972" t="str">
        <f>IFERROR(VLOOKUP(E375,'liquidaciones '!$B$2:$I$1048576,8,0),"")</f>
        <v>MANUEL ROJAS</v>
      </c>
      <c r="AP375" s="339"/>
      <c r="AQ375" s="177" t="str">
        <f t="shared" ca="1" si="76"/>
        <v>SI</v>
      </c>
      <c r="AR375" s="177" t="s">
        <v>981</v>
      </c>
      <c r="AS375" s="435"/>
      <c r="AT375" s="992"/>
    </row>
    <row r="376" spans="2:46" ht="45" x14ac:dyDescent="0.25">
      <c r="B376" s="722">
        <v>370</v>
      </c>
      <c r="C376" s="439">
        <v>365</v>
      </c>
      <c r="D376" s="439" t="str">
        <f t="shared" si="66"/>
        <v>2015365</v>
      </c>
      <c r="E376" s="892" t="s">
        <v>2379</v>
      </c>
      <c r="F376" s="280" t="s">
        <v>2366</v>
      </c>
      <c r="G376" s="306">
        <v>79634149</v>
      </c>
      <c r="H376" s="884" t="s">
        <v>2378</v>
      </c>
      <c r="I376" s="837">
        <v>295840339</v>
      </c>
      <c r="J376" s="704" t="s">
        <v>2367</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2368</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2369</v>
      </c>
      <c r="AG376" s="173" t="s">
        <v>1440</v>
      </c>
      <c r="AH376" s="281" t="s">
        <v>560</v>
      </c>
      <c r="AI376" s="305" t="s">
        <v>1510</v>
      </c>
      <c r="AJ376" s="305" t="s">
        <v>1870</v>
      </c>
      <c r="AK376" s="181" t="str">
        <f t="shared" ca="1" si="73"/>
        <v>TERMINO</v>
      </c>
      <c r="AL376" s="310" t="s">
        <v>582</v>
      </c>
      <c r="AM376" s="176"/>
      <c r="AN376" s="872" t="str">
        <f>IFERROR(VLOOKUP(E376,'liquidaciones '!$B$2:$C$1048576,2,0),"NO")</f>
        <v>EN TRÁMITE</v>
      </c>
      <c r="AO376" s="972">
        <f>IFERROR(VLOOKUP(E376,'liquidaciones '!$B$2:$I$1048576,8,0),"")</f>
        <v>0</v>
      </c>
      <c r="AP376" s="339"/>
      <c r="AQ376" s="177" t="str">
        <f t="shared" ca="1" si="76"/>
        <v>SI</v>
      </c>
      <c r="AR376" s="177" t="s">
        <v>1995</v>
      </c>
      <c r="AS376" s="435"/>
      <c r="AT376" s="992"/>
    </row>
    <row r="377" spans="2:46" ht="45" x14ac:dyDescent="0.25">
      <c r="B377" s="722">
        <v>371</v>
      </c>
      <c r="C377" s="439">
        <v>365</v>
      </c>
      <c r="D377" s="439" t="str">
        <f t="shared" si="66"/>
        <v>2015365</v>
      </c>
      <c r="E377" s="892" t="s">
        <v>2377</v>
      </c>
      <c r="F377" s="280" t="s">
        <v>2366</v>
      </c>
      <c r="G377" s="892">
        <v>79634149</v>
      </c>
      <c r="H377" s="884" t="s">
        <v>2378</v>
      </c>
      <c r="I377" s="837">
        <v>188315358.83000001</v>
      </c>
      <c r="J377" s="704" t="s">
        <v>2367</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2368</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2369</v>
      </c>
      <c r="AG377" s="173" t="s">
        <v>1440</v>
      </c>
      <c r="AH377" s="281" t="s">
        <v>560</v>
      </c>
      <c r="AI377" s="305" t="s">
        <v>1510</v>
      </c>
      <c r="AJ377" s="305" t="s">
        <v>1870</v>
      </c>
      <c r="AK377" s="181" t="str">
        <f t="shared" ca="1" si="73"/>
        <v>TERMINO</v>
      </c>
      <c r="AL377" s="310" t="s">
        <v>582</v>
      </c>
      <c r="AM377" s="176"/>
      <c r="AN377" s="872" t="str">
        <f>IFERROR(VLOOKUP(E377,'liquidaciones '!$B$2:$C$1048576,2,0),"NO")</f>
        <v>DEVUELTO</v>
      </c>
      <c r="AO377" s="972" t="str">
        <f>IFERROR(VLOOKUP(E377,'liquidaciones '!$B$2:$I$1048576,8,0),"")</f>
        <v>JULIETH ANGARITA</v>
      </c>
      <c r="AP377" s="339"/>
      <c r="AQ377" s="177" t="str">
        <f t="shared" ca="1" si="76"/>
        <v>SI</v>
      </c>
      <c r="AR377" s="177" t="s">
        <v>1995</v>
      </c>
      <c r="AS377" s="435"/>
      <c r="AT377" s="992"/>
    </row>
    <row r="378" spans="2:46" ht="56.25" x14ac:dyDescent="0.25">
      <c r="B378" s="722">
        <v>372</v>
      </c>
      <c r="C378" s="439">
        <v>62</v>
      </c>
      <c r="D378" s="439" t="str">
        <f t="shared" si="66"/>
        <v>201562</v>
      </c>
      <c r="E378" s="892" t="s">
        <v>2381</v>
      </c>
      <c r="F378" s="280" t="s">
        <v>2382</v>
      </c>
      <c r="G378" s="892">
        <v>830025104</v>
      </c>
      <c r="H378" s="884" t="s">
        <v>2383</v>
      </c>
      <c r="I378" s="210">
        <v>64250000</v>
      </c>
      <c r="J378" s="704" t="s">
        <v>2384</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2385</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2" t="str">
        <f>IFERROR(VLOOKUP(E378,'liquidaciones '!$B$2:$C$1048576,2,0),"NO")</f>
        <v>LIQUIDADO</v>
      </c>
      <c r="AO378" s="972" t="str">
        <f>IFERROR(VLOOKUP(E378,'liquidaciones '!$B$2:$I$1048576,8,0),"")</f>
        <v>JULIETH ANGARITA</v>
      </c>
      <c r="AP378" s="339"/>
      <c r="AQ378" s="177" t="str">
        <f t="shared" ca="1" si="76"/>
        <v>SI</v>
      </c>
      <c r="AR378" s="177" t="s">
        <v>1995</v>
      </c>
      <c r="AS378" s="435"/>
      <c r="AT378" s="992"/>
    </row>
    <row r="379" spans="2:46" ht="43.5" customHeight="1" x14ac:dyDescent="0.25">
      <c r="B379" s="722">
        <v>373</v>
      </c>
      <c r="C379" s="439"/>
      <c r="D379" s="439" t="str">
        <f t="shared" si="66"/>
        <v>2015</v>
      </c>
      <c r="E379" s="892" t="s">
        <v>2386</v>
      </c>
      <c r="F379" s="280" t="s">
        <v>2387</v>
      </c>
      <c r="G379" s="892" t="s">
        <v>2388</v>
      </c>
      <c r="H379" s="884" t="s">
        <v>2389</v>
      </c>
      <c r="I379" s="210">
        <v>64000000</v>
      </c>
      <c r="J379" s="704" t="s">
        <v>2390</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2391</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2" t="str">
        <f>IFERROR(VLOOKUP(E379,'liquidaciones '!$B$2:$C$1048576,2,0),"NO")</f>
        <v>LIQUIDADO</v>
      </c>
      <c r="AO379" s="972" t="str">
        <f>IFERROR(VLOOKUP(E379,'liquidaciones '!$B$2:$I$1048576,8,0),"")</f>
        <v>DORA PINILLA</v>
      </c>
      <c r="AP379" s="339"/>
      <c r="AQ379" s="177" t="str">
        <f t="shared" ca="1" si="76"/>
        <v>SI</v>
      </c>
      <c r="AR379" s="177" t="s">
        <v>2609</v>
      </c>
      <c r="AS379" s="435"/>
      <c r="AT379" s="992"/>
    </row>
    <row r="380" spans="2:46" s="848" customFormat="1" ht="33.75" x14ac:dyDescent="0.25">
      <c r="B380" s="849">
        <v>375</v>
      </c>
      <c r="C380" s="847">
        <v>135</v>
      </c>
      <c r="D380" s="847" t="str">
        <f>+K380&amp;C380</f>
        <v>2016135</v>
      </c>
      <c r="E380" s="850" t="s">
        <v>2418</v>
      </c>
      <c r="F380" s="851" t="s">
        <v>86</v>
      </c>
      <c r="G380" s="929">
        <v>860001022</v>
      </c>
      <c r="H380" s="1032" t="s">
        <v>2419</v>
      </c>
      <c r="I380" s="935">
        <v>1226994</v>
      </c>
      <c r="J380" s="852" t="s">
        <v>2418</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869" t="str">
        <f>VLOOKUP(C380,[2]Hoja4!$A$2:$E$116,5,0)</f>
        <v>PRESTACION DE SERVICIOS1</v>
      </c>
      <c r="AE380" s="870" t="s">
        <v>1257</v>
      </c>
      <c r="AF380" s="851" t="s">
        <v>1126</v>
      </c>
      <c r="AG380" s="870"/>
      <c r="AH380" s="851" t="s">
        <v>564</v>
      </c>
      <c r="AI380" s="850"/>
      <c r="AJ380" s="850" t="s">
        <v>600</v>
      </c>
      <c r="AK380" s="181" t="str">
        <f t="shared" ca="1" si="73"/>
        <v>TERMINO</v>
      </c>
      <c r="AL380" s="871" t="s">
        <v>582</v>
      </c>
      <c r="AM380" s="872" t="s">
        <v>390</v>
      </c>
      <c r="AN380" s="872" t="str">
        <f>IFERROR(VLOOKUP(E380,'liquidaciones '!$B$2:$C$1048576,2,0),"NO")</f>
        <v>LIQUIDADO</v>
      </c>
      <c r="AO380" s="972" t="str">
        <f>IFERROR(VLOOKUP(E380,'liquidaciones '!$B$2:$I$1048576,8,0),"")</f>
        <v>MANUEL ROJAS</v>
      </c>
      <c r="AP380" s="873"/>
      <c r="AQ380" s="874" t="str">
        <f t="shared" ca="1" si="76"/>
        <v>SI</v>
      </c>
      <c r="AR380" s="177" t="s">
        <v>2605</v>
      </c>
      <c r="AS380" s="435"/>
      <c r="AT380" s="994"/>
    </row>
    <row r="381" spans="2:46" ht="29.25" customHeight="1" x14ac:dyDescent="0.25">
      <c r="B381" s="722">
        <v>376</v>
      </c>
      <c r="C381" s="439"/>
      <c r="D381" s="439" t="str">
        <f t="shared" ref="D381:D406" si="78">K381&amp;C381</f>
        <v>2016</v>
      </c>
      <c r="E381" s="892" t="s">
        <v>2420</v>
      </c>
      <c r="F381" s="280" t="s">
        <v>2421</v>
      </c>
      <c r="G381" s="930">
        <v>900459737</v>
      </c>
      <c r="H381" s="1033" t="s">
        <v>402</v>
      </c>
      <c r="I381" s="936">
        <v>287600000</v>
      </c>
      <c r="J381" s="729"/>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2" t="str">
        <f>IFERROR(VLOOKUP(E381,'liquidaciones '!$B$2:$C$1048576,2,0),"NO")</f>
        <v>NO</v>
      </c>
      <c r="AO381" s="972" t="str">
        <f>IFERROR(VLOOKUP(E381,'liquidaciones '!$B$2:$I$1048576,8,0),"")</f>
        <v>MANUEL ROJAS</v>
      </c>
      <c r="AP381" s="339"/>
      <c r="AQ381" s="177" t="str">
        <f t="shared" ca="1" si="76"/>
        <v>SI</v>
      </c>
      <c r="AR381" s="177" t="s">
        <v>1511</v>
      </c>
      <c r="AS381" s="435"/>
      <c r="AT381" s="992"/>
    </row>
    <row r="382" spans="2:46" ht="90" x14ac:dyDescent="0.25">
      <c r="B382" s="722">
        <v>377</v>
      </c>
      <c r="C382" s="439"/>
      <c r="D382" s="439" t="str">
        <f t="shared" si="78"/>
        <v>2016</v>
      </c>
      <c r="E382" s="892" t="s">
        <v>2422</v>
      </c>
      <c r="F382" s="280" t="s">
        <v>2423</v>
      </c>
      <c r="G382" s="930"/>
      <c r="H382" s="1033" t="s">
        <v>3020</v>
      </c>
      <c r="I382" s="936">
        <v>601948308</v>
      </c>
      <c r="J382" s="876" t="s">
        <v>2422</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2" t="str">
        <f>IFERROR(VLOOKUP(E382,'liquidaciones '!$B$2:$C$1048576,2,0),"NO")</f>
        <v>LIQUIDADO</v>
      </c>
      <c r="AO382" s="972" t="str">
        <f>IFERROR(VLOOKUP(E382,'liquidaciones '!$B$2:$I$1048576,8,0),"")</f>
        <v>JULIETH ANGARITA</v>
      </c>
      <c r="AP382" s="339"/>
      <c r="AQ382" s="177" t="str">
        <f t="shared" ca="1" si="76"/>
        <v>SI</v>
      </c>
      <c r="AR382" s="177" t="s">
        <v>2605</v>
      </c>
      <c r="AS382" s="435"/>
      <c r="AT382" s="992"/>
    </row>
    <row r="383" spans="2:46" ht="56.25" x14ac:dyDescent="0.25">
      <c r="B383" s="722">
        <v>378</v>
      </c>
      <c r="C383" s="1041"/>
      <c r="D383" s="439" t="str">
        <f t="shared" si="78"/>
        <v>2016</v>
      </c>
      <c r="E383" s="1040" t="s">
        <v>3558</v>
      </c>
      <c r="F383" s="280" t="s">
        <v>126</v>
      </c>
      <c r="G383" s="930">
        <v>900333228</v>
      </c>
      <c r="H383" s="1033" t="s">
        <v>2424</v>
      </c>
      <c r="I383" s="936">
        <v>4640000</v>
      </c>
      <c r="J383" s="975" t="s">
        <v>2432</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2" t="str">
        <f>IFERROR(VLOOKUP(E383,'liquidaciones '!$B$2:$C$1048576,2,0),"NO")</f>
        <v>NO</v>
      </c>
      <c r="AO383" s="972" t="str">
        <f>IFERROR(VLOOKUP(E383,'liquidaciones '!$B$2:$I$1048576,8,0),"")</f>
        <v>JULIETH ANGARITA</v>
      </c>
      <c r="AP383" s="339"/>
      <c r="AQ383" s="177" t="str">
        <f t="shared" ca="1" si="76"/>
        <v>SI</v>
      </c>
      <c r="AR383" s="177" t="s">
        <v>1511</v>
      </c>
      <c r="AS383" s="435"/>
      <c r="AT383" s="992"/>
    </row>
    <row r="384" spans="2:46" ht="33.75" x14ac:dyDescent="0.25">
      <c r="B384" s="722">
        <v>379</v>
      </c>
      <c r="C384" s="439"/>
      <c r="D384" s="439" t="str">
        <f t="shared" si="78"/>
        <v>2016</v>
      </c>
      <c r="E384" s="892" t="s">
        <v>2425</v>
      </c>
      <c r="F384" s="280" t="s">
        <v>2427</v>
      </c>
      <c r="G384" s="930">
        <v>800249557</v>
      </c>
      <c r="H384" s="1033" t="s">
        <v>2426</v>
      </c>
      <c r="I384" s="936">
        <v>4200000</v>
      </c>
      <c r="J384" s="877" t="s">
        <v>2425</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2" t="str">
        <f>IFERROR(VLOOKUP(E384,'liquidaciones '!$B$2:$C$1048576,2,0),"NO")</f>
        <v>LIQUIDADO</v>
      </c>
      <c r="AO384" s="972">
        <f>IFERROR(VLOOKUP(E384,'liquidaciones '!$B$2:$I$1048576,8,0),"")</f>
        <v>0</v>
      </c>
      <c r="AP384" s="339"/>
      <c r="AQ384" s="177" t="str">
        <f t="shared" ca="1" si="76"/>
        <v>SI</v>
      </c>
      <c r="AR384" s="177" t="s">
        <v>1511</v>
      </c>
      <c r="AS384" s="435"/>
      <c r="AT384" s="992"/>
    </row>
    <row r="385" spans="2:46" ht="56.25" x14ac:dyDescent="0.25">
      <c r="B385" s="722">
        <v>380</v>
      </c>
      <c r="C385" s="439"/>
      <c r="D385" s="439" t="str">
        <f t="shared" si="78"/>
        <v>2016</v>
      </c>
      <c r="E385" s="892" t="s">
        <v>2428</v>
      </c>
      <c r="F385" s="280" t="s">
        <v>2429</v>
      </c>
      <c r="G385" s="930">
        <v>900583252</v>
      </c>
      <c r="H385" s="1033" t="s">
        <v>3021</v>
      </c>
      <c r="I385" s="936">
        <v>92800000</v>
      </c>
      <c r="J385" s="877" t="s">
        <v>2428</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2447</v>
      </c>
      <c r="AG385" s="173"/>
      <c r="AH385" s="281" t="s">
        <v>561</v>
      </c>
      <c r="AI385" s="305"/>
      <c r="AJ385" s="305" t="s">
        <v>600</v>
      </c>
      <c r="AK385" s="181" t="str">
        <f t="shared" ca="1" si="73"/>
        <v>TERMINO</v>
      </c>
      <c r="AL385" s="310" t="s">
        <v>582</v>
      </c>
      <c r="AM385" s="176" t="s">
        <v>391</v>
      </c>
      <c r="AN385" s="872" t="str">
        <f>IFERROR(VLOOKUP(E385,'liquidaciones '!$B$2:$C$1048576,2,0),"NO")</f>
        <v>LIQUIDADO</v>
      </c>
      <c r="AO385" s="972" t="str">
        <f>IFERROR(VLOOKUP(E385,'liquidaciones '!$B$2:$I$1048576,8,0),"")</f>
        <v>MANUEL ROJAS</v>
      </c>
      <c r="AP385" s="339"/>
      <c r="AQ385" s="177" t="str">
        <f t="shared" ca="1" si="76"/>
        <v>SI</v>
      </c>
      <c r="AR385" s="435" t="s">
        <v>2990</v>
      </c>
      <c r="AS385" s="435"/>
      <c r="AT385" s="992"/>
    </row>
    <row r="386" spans="2:46" ht="45" x14ac:dyDescent="0.25">
      <c r="C386" s="439">
        <v>153</v>
      </c>
      <c r="D386" s="439" t="str">
        <f t="shared" si="78"/>
        <v>2016153</v>
      </c>
      <c r="E386" s="892" t="s">
        <v>2430</v>
      </c>
      <c r="F386" s="280" t="s">
        <v>1033</v>
      </c>
      <c r="G386" s="930">
        <v>51931422</v>
      </c>
      <c r="H386" s="1033" t="s">
        <v>3022</v>
      </c>
      <c r="I386" s="936">
        <v>61800000</v>
      </c>
      <c r="J386" s="877" t="s">
        <v>2430</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1714</v>
      </c>
      <c r="AE386" s="173" t="s">
        <v>1257</v>
      </c>
      <c r="AF386" s="281" t="s">
        <v>2175</v>
      </c>
      <c r="AG386" s="173"/>
      <c r="AH386" s="281" t="s">
        <v>559</v>
      </c>
      <c r="AI386" s="305"/>
      <c r="AJ386" s="305" t="s">
        <v>600</v>
      </c>
      <c r="AK386" s="181" t="str">
        <f t="shared" ca="1" si="73"/>
        <v>TERMINO</v>
      </c>
      <c r="AL386" s="310" t="s">
        <v>582</v>
      </c>
      <c r="AM386" s="176" t="s">
        <v>391</v>
      </c>
      <c r="AN386" s="872" t="str">
        <f>IFERROR(VLOOKUP(E386,'liquidaciones '!$B$2:$C$1048576,2,0),"NO")</f>
        <v>LIQUIDADO</v>
      </c>
      <c r="AO386" s="972" t="str">
        <f>IFERROR(VLOOKUP(E386,'liquidaciones '!$B$2:$I$1048576,8,0),"")</f>
        <v>ANDREA CASAS</v>
      </c>
      <c r="AP386" s="339"/>
      <c r="AQ386" s="177" t="str">
        <f t="shared" ca="1" si="76"/>
        <v>SI</v>
      </c>
      <c r="AR386" s="177" t="s">
        <v>981</v>
      </c>
      <c r="AS386" s="435"/>
      <c r="AT386" s="992"/>
    </row>
    <row r="387" spans="2:46" ht="45" x14ac:dyDescent="0.25">
      <c r="C387" s="439">
        <v>98</v>
      </c>
      <c r="D387" s="439" t="str">
        <f t="shared" si="78"/>
        <v>201698</v>
      </c>
      <c r="E387" s="892" t="s">
        <v>2431</v>
      </c>
      <c r="F387" s="280" t="s">
        <v>1537</v>
      </c>
      <c r="G387" s="930">
        <v>80100229</v>
      </c>
      <c r="H387" s="1033" t="s">
        <v>3023</v>
      </c>
      <c r="I387" s="936">
        <v>56650000</v>
      </c>
      <c r="J387" s="975" t="s">
        <v>2431</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1714</v>
      </c>
      <c r="AE387" s="173" t="s">
        <v>1258</v>
      </c>
      <c r="AF387" s="281" t="s">
        <v>2194</v>
      </c>
      <c r="AG387" s="173"/>
      <c r="AH387" s="281" t="s">
        <v>559</v>
      </c>
      <c r="AI387" s="305" t="s">
        <v>2193</v>
      </c>
      <c r="AJ387" s="305" t="s">
        <v>600</v>
      </c>
      <c r="AK387" s="181" t="str">
        <f t="shared" ca="1" si="73"/>
        <v>TERMINO</v>
      </c>
      <c r="AL387" s="310" t="s">
        <v>582</v>
      </c>
      <c r="AM387" s="176" t="s">
        <v>391</v>
      </c>
      <c r="AN387" s="872" t="str">
        <f>IFERROR(VLOOKUP(E387,'liquidaciones '!$B$2:$C$1048576,2,0),"NO")</f>
        <v>LIQUIDADO</v>
      </c>
      <c r="AO387" s="972" t="str">
        <f>IFERROR(VLOOKUP(E387,'liquidaciones '!$B$2:$I$1048576,8,0),"")</f>
        <v>JAVIER QUINTERO</v>
      </c>
      <c r="AP387" s="339"/>
      <c r="AQ387" s="177" t="str">
        <f t="shared" ca="1" si="76"/>
        <v>SI</v>
      </c>
      <c r="AR387" s="177" t="s">
        <v>2605</v>
      </c>
      <c r="AS387" s="435"/>
      <c r="AT387" s="992"/>
    </row>
    <row r="388" spans="2:46" ht="33.75" x14ac:dyDescent="0.25">
      <c r="C388" s="439">
        <v>119</v>
      </c>
      <c r="D388" s="439" t="str">
        <f t="shared" si="78"/>
        <v>2016119</v>
      </c>
      <c r="E388" s="892" t="s">
        <v>2433</v>
      </c>
      <c r="F388" s="280" t="s">
        <v>2434</v>
      </c>
      <c r="G388" s="930">
        <v>35457601</v>
      </c>
      <c r="H388" s="1033" t="s">
        <v>1581</v>
      </c>
      <c r="I388" s="936">
        <v>23872500</v>
      </c>
      <c r="J388" s="715" t="s">
        <v>2433</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1714</v>
      </c>
      <c r="AE388" s="173" t="s">
        <v>1257</v>
      </c>
      <c r="AF388" s="281" t="s">
        <v>2181</v>
      </c>
      <c r="AG388" s="173" t="s">
        <v>1431</v>
      </c>
      <c r="AH388" s="281" t="s">
        <v>564</v>
      </c>
      <c r="AI388" s="305"/>
      <c r="AJ388" s="305" t="s">
        <v>600</v>
      </c>
      <c r="AK388" s="181" t="str">
        <f t="shared" ca="1" si="73"/>
        <v>TERMINO</v>
      </c>
      <c r="AL388" s="181" t="s">
        <v>582</v>
      </c>
      <c r="AM388" s="176" t="s">
        <v>391</v>
      </c>
      <c r="AN388" s="872" t="str">
        <f>IFERROR(VLOOKUP(E388,'liquidaciones '!$B$2:$C$1048576,2,0),"NO")</f>
        <v>LIQUIDADO</v>
      </c>
      <c r="AO388" s="972" t="str">
        <f>IFERROR(VLOOKUP(E388,'liquidaciones '!$B$2:$I$1048576,8,0),"")</f>
        <v>JAVIER QUINTERO</v>
      </c>
      <c r="AP388" s="339"/>
      <c r="AQ388" s="177" t="str">
        <f t="shared" ca="1" si="76"/>
        <v>SI</v>
      </c>
      <c r="AR388" s="177" t="s">
        <v>2605</v>
      </c>
      <c r="AS388" s="435"/>
      <c r="AT388" s="992"/>
    </row>
    <row r="389" spans="2:46" ht="56.25" x14ac:dyDescent="0.25">
      <c r="C389" s="439">
        <v>117</v>
      </c>
      <c r="D389" s="439" t="str">
        <f t="shared" si="78"/>
        <v>2016117</v>
      </c>
      <c r="E389" s="892" t="s">
        <v>2435</v>
      </c>
      <c r="F389" s="280" t="s">
        <v>1035</v>
      </c>
      <c r="G389" s="930">
        <v>4098836</v>
      </c>
      <c r="H389" s="1033" t="s">
        <v>3024</v>
      </c>
      <c r="I389" s="936">
        <v>35595000</v>
      </c>
      <c r="J389" s="715" t="s">
        <v>2435</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1714</v>
      </c>
      <c r="AE389" s="173" t="s">
        <v>1257</v>
      </c>
      <c r="AF389" s="173" t="s">
        <v>2174</v>
      </c>
      <c r="AG389" s="173" t="s">
        <v>1178</v>
      </c>
      <c r="AH389" s="281" t="s">
        <v>559</v>
      </c>
      <c r="AI389" s="305"/>
      <c r="AJ389" s="305" t="s">
        <v>600</v>
      </c>
      <c r="AK389" s="181" t="str">
        <f t="shared" ca="1" si="73"/>
        <v>TERMINO</v>
      </c>
      <c r="AL389" s="310" t="s">
        <v>582</v>
      </c>
      <c r="AM389" s="176" t="s">
        <v>391</v>
      </c>
      <c r="AN389" s="872" t="str">
        <f>IFERROR(VLOOKUP(E389,'liquidaciones '!$B$2:$C$1048576,2,0),"NO")</f>
        <v>LIQUIDADO</v>
      </c>
      <c r="AO389" s="972" t="str">
        <f>IFERROR(VLOOKUP(E389,'liquidaciones '!$B$2:$I$1048576,8,0),"")</f>
        <v>GIOVANNI SUAREZ</v>
      </c>
      <c r="AP389" s="339"/>
      <c r="AQ389" s="177" t="str">
        <f t="shared" ca="1" si="76"/>
        <v>SI</v>
      </c>
      <c r="AR389" s="177" t="s">
        <v>981</v>
      </c>
      <c r="AS389" s="435"/>
      <c r="AT389" s="992"/>
    </row>
    <row r="390" spans="2:46" ht="56.25" x14ac:dyDescent="0.25">
      <c r="C390" s="439"/>
      <c r="D390" s="439" t="str">
        <f t="shared" si="78"/>
        <v>2016</v>
      </c>
      <c r="E390" s="892" t="s">
        <v>2436</v>
      </c>
      <c r="F390" s="280" t="s">
        <v>1339</v>
      </c>
      <c r="G390" s="930" t="s">
        <v>2437</v>
      </c>
      <c r="H390" s="1033" t="s">
        <v>3025</v>
      </c>
      <c r="I390" s="936">
        <v>154000000</v>
      </c>
      <c r="J390" s="715" t="s">
        <v>2436</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2" t="str">
        <f>IFERROR(VLOOKUP(E390,'liquidaciones '!$B$2:$C$1048576,2,0),"NO")</f>
        <v>NO</v>
      </c>
      <c r="AO390" s="972" t="str">
        <f>IFERROR(VLOOKUP(E390,'liquidaciones '!$B$2:$I$1048576,8,0),"")</f>
        <v>GIOVANNI SUAREZ</v>
      </c>
      <c r="AP390" s="339"/>
      <c r="AQ390" s="177" t="str">
        <f t="shared" ca="1" si="76"/>
        <v>SI</v>
      </c>
      <c r="AR390" s="435" t="s">
        <v>3803</v>
      </c>
      <c r="AS390" s="435"/>
      <c r="AT390" s="992"/>
    </row>
    <row r="391" spans="2:46" ht="67.5" x14ac:dyDescent="0.25">
      <c r="C391" s="439">
        <v>152</v>
      </c>
      <c r="D391" s="439" t="str">
        <f t="shared" si="78"/>
        <v>2016152</v>
      </c>
      <c r="E391" s="892" t="s">
        <v>2438</v>
      </c>
      <c r="F391" s="280" t="s">
        <v>2439</v>
      </c>
      <c r="G391" s="930">
        <v>900475780</v>
      </c>
      <c r="H391" s="1033" t="s">
        <v>1641</v>
      </c>
      <c r="I391" s="936">
        <v>3454655000</v>
      </c>
      <c r="J391" s="715" t="s">
        <v>2438</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2" t="str">
        <f>IFERROR(VLOOKUP(E391,'liquidaciones '!$B$2:$C$1048576,2,0),"NO")</f>
        <v>LIQUIDADO</v>
      </c>
      <c r="AO391" s="972" t="str">
        <f>IFERROR(VLOOKUP(E391,'liquidaciones '!$B$2:$I$1048576,8,0),"")</f>
        <v>MANUEL ROJAS</v>
      </c>
      <c r="AP391" s="339"/>
      <c r="AQ391" s="177" t="str">
        <f t="shared" ca="1" si="76"/>
        <v>SI</v>
      </c>
      <c r="AR391" s="435" t="s">
        <v>2990</v>
      </c>
      <c r="AS391" s="435"/>
      <c r="AT391" s="992"/>
    </row>
    <row r="392" spans="2:46" ht="56.25" x14ac:dyDescent="0.25">
      <c r="C392" s="439">
        <v>125</v>
      </c>
      <c r="D392" s="439" t="str">
        <f t="shared" si="78"/>
        <v>2016125</v>
      </c>
      <c r="E392" s="892" t="s">
        <v>2442</v>
      </c>
      <c r="F392" s="280" t="s">
        <v>2034</v>
      </c>
      <c r="G392" s="930">
        <v>79246871</v>
      </c>
      <c r="H392" s="1033" t="s">
        <v>2443</v>
      </c>
      <c r="I392" s="936">
        <v>29664000</v>
      </c>
      <c r="J392" s="715" t="s">
        <v>2452</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1714</v>
      </c>
      <c r="AE392" s="173" t="s">
        <v>1257</v>
      </c>
      <c r="AF392" s="281" t="s">
        <v>2063</v>
      </c>
      <c r="AG392" s="173" t="s">
        <v>1438</v>
      </c>
      <c r="AH392" s="281" t="s">
        <v>561</v>
      </c>
      <c r="AI392" s="305"/>
      <c r="AJ392" s="305" t="s">
        <v>600</v>
      </c>
      <c r="AK392" s="181" t="str">
        <f t="shared" ca="1" si="86"/>
        <v>TERMINO</v>
      </c>
      <c r="AL392" s="310" t="s">
        <v>582</v>
      </c>
      <c r="AM392" s="176" t="s">
        <v>391</v>
      </c>
      <c r="AN392" s="872" t="str">
        <f>IFERROR(VLOOKUP(E392,'liquidaciones '!$B$2:$C$1048576,2,0),"NO")</f>
        <v>LIQUIDADO</v>
      </c>
      <c r="AO392" s="972" t="str">
        <f>IFERROR(VLOOKUP(E392,'liquidaciones '!$B$2:$I$1048576,8,0),"")</f>
        <v>JAVIER QUINTERO</v>
      </c>
      <c r="AP392" s="339"/>
      <c r="AQ392" s="177" t="str">
        <f t="shared" ca="1" si="76"/>
        <v>SI</v>
      </c>
      <c r="AR392" s="177" t="s">
        <v>2605</v>
      </c>
      <c r="AS392" s="435"/>
      <c r="AT392" s="992"/>
    </row>
    <row r="393" spans="2:46" ht="33.75" x14ac:dyDescent="0.25">
      <c r="C393" s="439">
        <v>149</v>
      </c>
      <c r="D393" s="439" t="str">
        <f t="shared" si="78"/>
        <v>2016149</v>
      </c>
      <c r="E393" s="892" t="s">
        <v>2446</v>
      </c>
      <c r="F393" s="280" t="s">
        <v>1112</v>
      </c>
      <c r="G393" s="930">
        <v>830005370</v>
      </c>
      <c r="H393" s="1033" t="s">
        <v>3026</v>
      </c>
      <c r="I393" s="936">
        <v>1148500000</v>
      </c>
      <c r="J393" s="715" t="s">
        <v>2446</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2" t="str">
        <f>IFERROR(VLOOKUP(E393,'liquidaciones '!$B$2:$C$1048576,2,0),"NO")</f>
        <v>LIQUIDADO</v>
      </c>
      <c r="AO393" s="972" t="str">
        <f>IFERROR(VLOOKUP(E393,'liquidaciones '!$B$2:$I$1048576,8,0),"")</f>
        <v>MANUEL ROJAS</v>
      </c>
      <c r="AP393" s="339"/>
      <c r="AQ393" s="177" t="str">
        <f t="shared" ca="1" si="76"/>
        <v>SI</v>
      </c>
      <c r="AR393" s="177" t="s">
        <v>981</v>
      </c>
      <c r="AS393" s="435"/>
      <c r="AT393" s="992"/>
    </row>
    <row r="394" spans="2:46" ht="22.5" x14ac:dyDescent="0.25">
      <c r="C394" s="439">
        <v>136</v>
      </c>
      <c r="D394" s="439" t="str">
        <f t="shared" si="78"/>
        <v>2016136</v>
      </c>
      <c r="E394" s="892" t="s">
        <v>2451</v>
      </c>
      <c r="F394" s="280" t="s">
        <v>15</v>
      </c>
      <c r="G394" s="930">
        <v>830067096</v>
      </c>
      <c r="H394" s="1033" t="s">
        <v>353</v>
      </c>
      <c r="I394" s="936">
        <v>8010000</v>
      </c>
      <c r="J394" s="715" t="s">
        <v>2451</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2" t="str">
        <f>IFERROR(VLOOKUP(E394,'liquidaciones '!$B$2:$C$1048576,2,0),"NO")</f>
        <v>LIQUIDADO</v>
      </c>
      <c r="AO394" s="972" t="str">
        <f>IFERROR(VLOOKUP(E394,'liquidaciones '!$B$2:$I$1048576,8,0),"")</f>
        <v>MANUEL ROJAS</v>
      </c>
      <c r="AP394" s="339"/>
      <c r="AQ394" s="177" t="str">
        <f t="shared" ca="1" si="76"/>
        <v>SI</v>
      </c>
      <c r="AR394" s="177" t="s">
        <v>981</v>
      </c>
      <c r="AS394" s="435"/>
      <c r="AT394" s="992"/>
    </row>
    <row r="395" spans="2:46" ht="33.75" x14ac:dyDescent="0.25">
      <c r="C395" s="439">
        <v>217</v>
      </c>
      <c r="D395" s="439" t="str">
        <f t="shared" si="78"/>
        <v>2016217</v>
      </c>
      <c r="E395" s="892" t="s">
        <v>2453</v>
      </c>
      <c r="F395" s="280" t="s">
        <v>1860</v>
      </c>
      <c r="G395" s="930">
        <v>860025639</v>
      </c>
      <c r="H395" s="1033" t="s">
        <v>2454</v>
      </c>
      <c r="I395" s="936">
        <v>14640000</v>
      </c>
      <c r="J395" s="715" t="s">
        <v>2453</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3007</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2" t="str">
        <f>IFERROR(VLOOKUP(E395,'liquidaciones '!$B$2:$C$1048576,2,0),"NO")</f>
        <v>EN TRÁMITE</v>
      </c>
      <c r="AO395" s="972" t="str">
        <f>IFERROR(VLOOKUP(E395,'liquidaciones '!$B$2:$I$1048576,8,0),"")</f>
        <v>JULIETH ANGARITA</v>
      </c>
      <c r="AP395" s="339"/>
      <c r="AQ395" s="177" t="str">
        <f t="shared" ca="1" si="76"/>
        <v>SI</v>
      </c>
      <c r="AR395" s="177" t="s">
        <v>1511</v>
      </c>
      <c r="AS395" s="435"/>
      <c r="AT395" s="992"/>
    </row>
    <row r="396" spans="2:46" ht="33.75" x14ac:dyDescent="0.25">
      <c r="C396" s="439">
        <v>126</v>
      </c>
      <c r="D396" s="439" t="str">
        <f t="shared" si="78"/>
        <v>2016126</v>
      </c>
      <c r="E396" s="892" t="s">
        <v>2455</v>
      </c>
      <c r="F396" s="890" t="s">
        <v>2456</v>
      </c>
      <c r="G396" s="930">
        <v>41758887</v>
      </c>
      <c r="H396" s="1033" t="s">
        <v>2457</v>
      </c>
      <c r="I396" s="936">
        <v>44000000</v>
      </c>
      <c r="J396" s="715" t="s">
        <v>2455</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1714</v>
      </c>
      <c r="AE396" s="173" t="s">
        <v>1257</v>
      </c>
      <c r="AF396" s="281" t="s">
        <v>2060</v>
      </c>
      <c r="AG396" s="173" t="s">
        <v>1178</v>
      </c>
      <c r="AH396" s="281" t="s">
        <v>559</v>
      </c>
      <c r="AI396" s="305" t="s">
        <v>2172</v>
      </c>
      <c r="AJ396" s="305" t="s">
        <v>600</v>
      </c>
      <c r="AK396" s="181" t="str">
        <f t="shared" ca="1" si="86"/>
        <v>TERMINO</v>
      </c>
      <c r="AL396" s="310" t="s">
        <v>582</v>
      </c>
      <c r="AM396" s="176" t="s">
        <v>391</v>
      </c>
      <c r="AN396" s="872" t="str">
        <f>IFERROR(VLOOKUP(E396,'liquidaciones '!$B$2:$C$1048576,2,0),"NO")</f>
        <v>LIQUIDADO</v>
      </c>
      <c r="AO396" s="972" t="str">
        <f>IFERROR(VLOOKUP(E396,'liquidaciones '!$B$2:$I$1048576,8,0),"")</f>
        <v>JAVIER QUINTERO</v>
      </c>
      <c r="AP396" s="339"/>
      <c r="AQ396" s="177" t="str">
        <f t="shared" ca="1" si="76"/>
        <v>SI</v>
      </c>
      <c r="AR396" s="177" t="s">
        <v>2605</v>
      </c>
      <c r="AS396" s="435"/>
      <c r="AT396" s="992"/>
    </row>
    <row r="397" spans="2:46" ht="30" x14ac:dyDescent="0.25">
      <c r="C397" s="439">
        <v>210</v>
      </c>
      <c r="D397" s="439" t="str">
        <f t="shared" si="78"/>
        <v>2016210</v>
      </c>
      <c r="E397" s="892" t="s">
        <v>2461</v>
      </c>
      <c r="F397" s="280" t="s">
        <v>284</v>
      </c>
      <c r="G397" s="930">
        <v>830055842</v>
      </c>
      <c r="H397" s="1033" t="s">
        <v>3027</v>
      </c>
      <c r="I397" s="936">
        <v>33009000</v>
      </c>
      <c r="J397" s="715" t="s">
        <v>2658</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2" t="str">
        <f>IFERROR(VLOOKUP(E397,'liquidaciones '!$B$2:$C$1048576,2,0),"NO")</f>
        <v>LIQUIDADO</v>
      </c>
      <c r="AO397" s="972" t="str">
        <f>IFERROR(VLOOKUP(E397,'liquidaciones '!$B$2:$I$1048576,8,0),"")</f>
        <v>MANUEL ROJAS</v>
      </c>
      <c r="AP397" s="339"/>
      <c r="AQ397" s="177" t="str">
        <f t="shared" ca="1" si="76"/>
        <v>SI</v>
      </c>
      <c r="AR397" s="177" t="s">
        <v>2977</v>
      </c>
      <c r="AS397" s="435"/>
      <c r="AT397" s="992"/>
    </row>
    <row r="398" spans="2:46" ht="45" x14ac:dyDescent="0.25">
      <c r="C398" s="439">
        <v>82</v>
      </c>
      <c r="D398" s="439" t="str">
        <f t="shared" si="78"/>
        <v>201682</v>
      </c>
      <c r="E398" s="892" t="s">
        <v>2463</v>
      </c>
      <c r="F398" s="280" t="s">
        <v>1516</v>
      </c>
      <c r="G398" s="930">
        <v>80117116</v>
      </c>
      <c r="H398" s="1033" t="s">
        <v>3028</v>
      </c>
      <c r="I398" s="936">
        <v>37080000</v>
      </c>
      <c r="J398" s="715" t="s">
        <v>2463</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1714</v>
      </c>
      <c r="AE398" s="173" t="s">
        <v>1257</v>
      </c>
      <c r="AF398" s="173" t="s">
        <v>2177</v>
      </c>
      <c r="AG398" s="173" t="s">
        <v>1431</v>
      </c>
      <c r="AH398" s="281" t="s">
        <v>564</v>
      </c>
      <c r="AI398" s="305"/>
      <c r="AJ398" s="305" t="s">
        <v>600</v>
      </c>
      <c r="AK398" s="181" t="str">
        <f t="shared" ca="1" si="86"/>
        <v>TERMINO</v>
      </c>
      <c r="AL398" s="181" t="s">
        <v>582</v>
      </c>
      <c r="AM398" s="176" t="s">
        <v>391</v>
      </c>
      <c r="AN398" s="872" t="str">
        <f>IFERROR(VLOOKUP(E398,'liquidaciones '!$B$2:$C$1048576,2,0),"NO")</f>
        <v>LIQUIDADO</v>
      </c>
      <c r="AO398" s="972" t="str">
        <f>IFERROR(VLOOKUP(E398,'liquidaciones '!$B$2:$I$1048576,8,0),"")</f>
        <v>ANDREA CASAS</v>
      </c>
      <c r="AP398" s="339"/>
      <c r="AQ398" s="177" t="str">
        <f t="shared" ca="1" si="76"/>
        <v>SI</v>
      </c>
      <c r="AR398" s="177" t="s">
        <v>981</v>
      </c>
      <c r="AS398" s="435"/>
      <c r="AT398" s="992"/>
    </row>
    <row r="399" spans="2:46" ht="56.25" x14ac:dyDescent="0.25">
      <c r="C399" s="439"/>
      <c r="D399" s="439" t="str">
        <f t="shared" si="78"/>
        <v>2016</v>
      </c>
      <c r="E399" s="892" t="s">
        <v>2465</v>
      </c>
      <c r="F399" s="890" t="s">
        <v>2466</v>
      </c>
      <c r="G399" s="930">
        <v>52963023</v>
      </c>
      <c r="H399" s="1033" t="s">
        <v>2473</v>
      </c>
      <c r="I399" s="936">
        <v>43712000</v>
      </c>
      <c r="J399" s="715" t="s">
        <v>2468</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1714</v>
      </c>
      <c r="AE399" s="173" t="s">
        <v>1257</v>
      </c>
      <c r="AF399" s="281" t="s">
        <v>2467</v>
      </c>
      <c r="AG399" s="173" t="s">
        <v>1438</v>
      </c>
      <c r="AH399" s="281" t="s">
        <v>561</v>
      </c>
      <c r="AI399" s="305"/>
      <c r="AJ399" s="305" t="s">
        <v>600</v>
      </c>
      <c r="AK399" s="181" t="str">
        <f t="shared" ca="1" si="86"/>
        <v>TERMINO</v>
      </c>
      <c r="AL399" s="181" t="s">
        <v>582</v>
      </c>
      <c r="AM399" s="176" t="s">
        <v>391</v>
      </c>
      <c r="AN399" s="872" t="str">
        <f>IFERROR(VLOOKUP(E399,'liquidaciones '!$B$2:$C$1048576,2,0),"NO")</f>
        <v>LIQUIDADO</v>
      </c>
      <c r="AO399" s="972" t="str">
        <f>IFERROR(VLOOKUP(E399,'liquidaciones '!$B$2:$I$1048576,8,0),"")</f>
        <v>JAVIER QUINTERO</v>
      </c>
      <c r="AP399" s="339"/>
      <c r="AQ399" s="177" t="str">
        <f t="shared" ca="1" si="76"/>
        <v>SI</v>
      </c>
      <c r="AR399" s="177" t="s">
        <v>2605</v>
      </c>
      <c r="AS399" s="435"/>
      <c r="AT399" s="992"/>
    </row>
    <row r="400" spans="2:46" ht="33.75" x14ac:dyDescent="0.25">
      <c r="C400" s="439">
        <v>83</v>
      </c>
      <c r="D400" s="439" t="str">
        <f t="shared" si="78"/>
        <v>201683</v>
      </c>
      <c r="E400" s="892" t="s">
        <v>2469</v>
      </c>
      <c r="F400" s="280" t="s">
        <v>1034</v>
      </c>
      <c r="G400" s="930">
        <v>79887061</v>
      </c>
      <c r="H400" s="1033" t="s">
        <v>2470</v>
      </c>
      <c r="I400" s="936">
        <v>29664000</v>
      </c>
      <c r="J400" s="715" t="s">
        <v>2472</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1714</v>
      </c>
      <c r="AE400" s="173" t="s">
        <v>1257</v>
      </c>
      <c r="AF400" s="173" t="s">
        <v>2182</v>
      </c>
      <c r="AG400" s="173" t="s">
        <v>1440</v>
      </c>
      <c r="AH400" s="281" t="s">
        <v>560</v>
      </c>
      <c r="AI400" s="305" t="s">
        <v>1510</v>
      </c>
      <c r="AJ400" s="305" t="s">
        <v>600</v>
      </c>
      <c r="AK400" s="181" t="str">
        <f t="shared" ca="1" si="86"/>
        <v>TERMINO</v>
      </c>
      <c r="AL400" s="181" t="s">
        <v>582</v>
      </c>
      <c r="AM400" s="176" t="s">
        <v>391</v>
      </c>
      <c r="AN400" s="872" t="str">
        <f>IFERROR(VLOOKUP(E400,'liquidaciones '!$B$2:$C$1048576,2,0),"NO")</f>
        <v>LIQUIDADO</v>
      </c>
      <c r="AO400" s="972" t="str">
        <f>IFERROR(VLOOKUP(E400,'liquidaciones '!$B$2:$I$1048576,8,0),"")</f>
        <v>GIOVANNI SUAREZ</v>
      </c>
      <c r="AP400" s="339"/>
      <c r="AQ400" s="177" t="str">
        <f t="shared" ca="1" si="76"/>
        <v>SI</v>
      </c>
      <c r="AR400" s="177" t="s">
        <v>981</v>
      </c>
      <c r="AS400" s="435"/>
      <c r="AT400" s="992"/>
    </row>
    <row r="401" spans="3:46" ht="33.75" x14ac:dyDescent="0.25">
      <c r="C401" s="439"/>
      <c r="D401" s="439" t="str">
        <f t="shared" si="78"/>
        <v>2016</v>
      </c>
      <c r="E401" s="892" t="s">
        <v>2471</v>
      </c>
      <c r="F401" s="280" t="s">
        <v>290</v>
      </c>
      <c r="G401" s="930">
        <v>811021363</v>
      </c>
      <c r="H401" s="1033" t="s">
        <v>3029</v>
      </c>
      <c r="I401" s="936">
        <v>6239000</v>
      </c>
      <c r="J401" s="715" t="s">
        <v>2475</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2" t="str">
        <f>IFERROR(VLOOKUP(E401,'liquidaciones '!$B$2:$C$1048576,2,0),"NO")</f>
        <v>LIQUIDADO</v>
      </c>
      <c r="AO401" s="972">
        <f>IFERROR(VLOOKUP(E401,'liquidaciones '!$B$2:$I$1048576,8,0),"")</f>
        <v>0</v>
      </c>
      <c r="AP401" s="339"/>
      <c r="AQ401" s="177" t="str">
        <f t="shared" ca="1" si="76"/>
        <v>SI</v>
      </c>
      <c r="AR401" s="177" t="s">
        <v>2609</v>
      </c>
      <c r="AS401" s="435"/>
      <c r="AT401" s="992"/>
    </row>
    <row r="402" spans="3:46" ht="33.75" x14ac:dyDescent="0.25">
      <c r="C402" s="439">
        <v>143</v>
      </c>
      <c r="D402" s="439" t="str">
        <f t="shared" si="78"/>
        <v>2016143</v>
      </c>
      <c r="E402" s="306" t="s">
        <v>2474</v>
      </c>
      <c r="F402" s="280" t="s">
        <v>1873</v>
      </c>
      <c r="G402" s="930">
        <v>900587953</v>
      </c>
      <c r="H402" s="1033" t="s">
        <v>3030</v>
      </c>
      <c r="I402" s="936">
        <v>2060000</v>
      </c>
      <c r="J402" s="715" t="s">
        <v>2476</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2" t="str">
        <f>IFERROR(VLOOKUP(E402,'liquidaciones '!$B$2:$C$1048576,2,0),"NO")</f>
        <v>NO</v>
      </c>
      <c r="AO402" s="972" t="str">
        <f>IFERROR(VLOOKUP(E402,'liquidaciones '!$B$2:$I$1048576,8,0),"")</f>
        <v>MANUEL ROJAS</v>
      </c>
      <c r="AP402" s="339"/>
      <c r="AQ402" s="177" t="s">
        <v>390</v>
      </c>
      <c r="AR402" s="177" t="s">
        <v>2991</v>
      </c>
      <c r="AS402" s="435"/>
      <c r="AT402" s="992"/>
    </row>
    <row r="403" spans="3:46" ht="45" x14ac:dyDescent="0.25">
      <c r="C403" s="439">
        <v>219</v>
      </c>
      <c r="D403" s="439" t="str">
        <f t="shared" si="78"/>
        <v>2016219</v>
      </c>
      <c r="E403" s="892" t="s">
        <v>2478</v>
      </c>
      <c r="F403" s="280" t="s">
        <v>1025</v>
      </c>
      <c r="G403" s="930">
        <v>80199707</v>
      </c>
      <c r="H403" s="1033" t="s">
        <v>3031</v>
      </c>
      <c r="I403" s="936">
        <v>19931000</v>
      </c>
      <c r="J403" s="715" t="s">
        <v>2477</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3007</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2" t="str">
        <f>IFERROR(VLOOKUP(E403,'liquidaciones '!$B$2:$C$1048576,2,0),"NO")</f>
        <v>LIQUIDADO</v>
      </c>
      <c r="AO403" s="972" t="str">
        <f>IFERROR(VLOOKUP(E403,'liquidaciones '!$B$2:$I$1048576,8,0),"")</f>
        <v>MANUEL ROJAS</v>
      </c>
      <c r="AP403" s="339"/>
      <c r="AQ403" s="177" t="s">
        <v>390</v>
      </c>
      <c r="AR403" s="177" t="s">
        <v>981</v>
      </c>
      <c r="AS403" s="435"/>
      <c r="AT403" s="992"/>
    </row>
    <row r="404" spans="3:46" ht="78.75" x14ac:dyDescent="0.25">
      <c r="C404" s="439">
        <v>227</v>
      </c>
      <c r="D404" s="439" t="str">
        <f t="shared" si="78"/>
        <v>2016227</v>
      </c>
      <c r="E404" s="892" t="s">
        <v>2509</v>
      </c>
      <c r="F404" s="280" t="s">
        <v>2011</v>
      </c>
      <c r="G404" s="930" t="s">
        <v>2480</v>
      </c>
      <c r="H404" s="1033" t="s">
        <v>3032</v>
      </c>
      <c r="I404" s="936">
        <v>108906000</v>
      </c>
      <c r="J404" s="715" t="s">
        <v>2479</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2" t="str">
        <f>IFERROR(VLOOKUP(E404,'liquidaciones '!$B$2:$C$1048576,2,0),"NO")</f>
        <v>LIQUIDADO</v>
      </c>
      <c r="AO404" s="972" t="str">
        <f>IFERROR(VLOOKUP(E404,'liquidaciones '!$B$2:$I$1048576,8,0),"")</f>
        <v>JULIETH ANGARITA</v>
      </c>
      <c r="AP404" s="339"/>
      <c r="AQ404" s="177" t="s">
        <v>390</v>
      </c>
      <c r="AR404" s="177" t="s">
        <v>981</v>
      </c>
      <c r="AS404" s="435"/>
      <c r="AT404" s="992"/>
    </row>
    <row r="405" spans="3:46" ht="45" x14ac:dyDescent="0.25">
      <c r="C405" s="439">
        <v>131</v>
      </c>
      <c r="D405" s="439" t="str">
        <f t="shared" si="78"/>
        <v>2016131</v>
      </c>
      <c r="E405" s="306" t="s">
        <v>2481</v>
      </c>
      <c r="F405" s="280" t="s">
        <v>1988</v>
      </c>
      <c r="G405" s="930">
        <v>1016042559</v>
      </c>
      <c r="H405" s="1033" t="s">
        <v>3033</v>
      </c>
      <c r="I405" s="936">
        <v>14400000</v>
      </c>
      <c r="J405" s="715" t="s">
        <v>2481</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8">
        <f t="shared" si="82"/>
        <v>1</v>
      </c>
      <c r="Z405" s="42">
        <f t="shared" ca="1" si="83"/>
        <v>1</v>
      </c>
      <c r="AA405" s="43">
        <f t="shared" ca="1" si="84"/>
        <v>0</v>
      </c>
      <c r="AB405" s="202" t="str">
        <f t="shared" ca="1" si="85"/>
        <v/>
      </c>
      <c r="AC405" s="44" t="str">
        <f t="shared" si="87"/>
        <v>SI</v>
      </c>
      <c r="AD405" s="762" t="s">
        <v>1714</v>
      </c>
      <c r="AE405" s="173" t="s">
        <v>1257</v>
      </c>
      <c r="AF405" s="281" t="s">
        <v>2064</v>
      </c>
      <c r="AG405" s="173" t="s">
        <v>1178</v>
      </c>
      <c r="AH405" s="281" t="s">
        <v>559</v>
      </c>
      <c r="AI405" s="305" t="s">
        <v>2172</v>
      </c>
      <c r="AJ405" s="305" t="s">
        <v>600</v>
      </c>
      <c r="AK405" s="181" t="str">
        <f t="shared" ca="1" si="86"/>
        <v>TERMINO</v>
      </c>
      <c r="AL405" s="310" t="s">
        <v>582</v>
      </c>
      <c r="AM405" s="176" t="s">
        <v>391</v>
      </c>
      <c r="AN405" s="872" t="str">
        <f>IFERROR(VLOOKUP(E405,'liquidaciones '!$B$2:$C$1048576,2,0),"NO")</f>
        <v>LIQUIDADO</v>
      </c>
      <c r="AO405" s="972" t="str">
        <f>IFERROR(VLOOKUP(E405,'liquidaciones '!$B$2:$I$1048576,8,0),"")</f>
        <v>EDWARD MORENO</v>
      </c>
      <c r="AP405" s="339"/>
      <c r="AQ405" s="177" t="s">
        <v>390</v>
      </c>
      <c r="AR405" s="177" t="s">
        <v>1511</v>
      </c>
      <c r="AS405" s="435"/>
      <c r="AT405" s="992"/>
    </row>
    <row r="406" spans="3:46" ht="45" x14ac:dyDescent="0.25">
      <c r="C406" s="439">
        <v>121</v>
      </c>
      <c r="D406" s="439" t="str">
        <f t="shared" si="78"/>
        <v>2016121</v>
      </c>
      <c r="E406" s="892" t="s">
        <v>2482</v>
      </c>
      <c r="F406" s="280" t="s">
        <v>2483</v>
      </c>
      <c r="G406" s="930">
        <v>52935693</v>
      </c>
      <c r="H406" s="1033" t="s">
        <v>3034</v>
      </c>
      <c r="I406" s="936">
        <v>44000000</v>
      </c>
      <c r="J406" s="715" t="s">
        <v>2482</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8">
        <f t="shared" si="82"/>
        <v>1</v>
      </c>
      <c r="Z406" s="42">
        <f t="shared" ca="1" si="83"/>
        <v>1</v>
      </c>
      <c r="AA406" s="43">
        <f t="shared" ca="1" si="84"/>
        <v>0</v>
      </c>
      <c r="AB406" s="202" t="str">
        <f t="shared" ca="1" si="85"/>
        <v/>
      </c>
      <c r="AC406" s="44" t="str">
        <f t="shared" si="87"/>
        <v>SI</v>
      </c>
      <c r="AD406" s="762" t="s">
        <v>1714</v>
      </c>
      <c r="AE406" s="173" t="s">
        <v>1257</v>
      </c>
      <c r="AF406" s="173" t="s">
        <v>2178</v>
      </c>
      <c r="AG406" s="173" t="s">
        <v>1178</v>
      </c>
      <c r="AH406" s="281" t="s">
        <v>559</v>
      </c>
      <c r="AI406" s="174"/>
      <c r="AJ406" s="305" t="s">
        <v>600</v>
      </c>
      <c r="AK406" s="181" t="str">
        <f t="shared" ca="1" si="86"/>
        <v>TERMINO</v>
      </c>
      <c r="AL406" s="181" t="s">
        <v>582</v>
      </c>
      <c r="AM406" s="176" t="s">
        <v>391</v>
      </c>
      <c r="AN406" s="872" t="str">
        <f>IFERROR(VLOOKUP(E406,'liquidaciones '!$B$2:$C$1048576,2,0),"NO")</f>
        <v>LIQUIDADO</v>
      </c>
      <c r="AO406" s="972" t="str">
        <f>IFERROR(VLOOKUP(E406,'liquidaciones '!$B$2:$I$1048576,8,0),"")</f>
        <v>JAVIER QUINTERO</v>
      </c>
      <c r="AP406" s="339"/>
      <c r="AQ406" s="177" t="s">
        <v>390</v>
      </c>
      <c r="AR406" s="177" t="s">
        <v>2605</v>
      </c>
      <c r="AS406" s="435"/>
      <c r="AT406" s="992"/>
    </row>
    <row r="407" spans="3:46" ht="56.25" customHeight="1" x14ac:dyDescent="0.25">
      <c r="C407" s="439"/>
      <c r="D407" s="439"/>
      <c r="E407" s="892" t="s">
        <v>2484</v>
      </c>
      <c r="F407" s="280" t="s">
        <v>22</v>
      </c>
      <c r="G407" s="930">
        <v>830112518</v>
      </c>
      <c r="H407" s="1033" t="s">
        <v>1160</v>
      </c>
      <c r="I407" s="936">
        <v>45008000</v>
      </c>
      <c r="J407" s="715" t="s">
        <v>2484</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2485</v>
      </c>
      <c r="Y407" s="878">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2" t="str">
        <f>IFERROR(VLOOKUP(E407,'liquidaciones '!$B$2:$C$1048576,2,0),"NO")</f>
        <v>LIQUIDADO</v>
      </c>
      <c r="AO407" s="972" t="str">
        <f>IFERROR(VLOOKUP(E407,'liquidaciones '!$B$2:$I$1048576,8,0),"")</f>
        <v>GIOVANNI SUAREZ</v>
      </c>
      <c r="AP407" s="339"/>
      <c r="AQ407" s="177" t="s">
        <v>390</v>
      </c>
      <c r="AR407" s="177" t="s">
        <v>2919</v>
      </c>
      <c r="AS407" s="435"/>
      <c r="AT407" s="992"/>
    </row>
    <row r="408" spans="3:46" ht="45" customHeight="1" x14ac:dyDescent="0.25">
      <c r="C408" s="439">
        <v>120</v>
      </c>
      <c r="D408" s="439"/>
      <c r="E408" s="892" t="s">
        <v>2486</v>
      </c>
      <c r="F408" s="280" t="s">
        <v>2487</v>
      </c>
      <c r="G408" s="930">
        <v>1136882557</v>
      </c>
      <c r="H408" s="1033" t="s">
        <v>2488</v>
      </c>
      <c r="I408" s="936">
        <v>19600000</v>
      </c>
      <c r="J408" s="715" t="s">
        <v>2486</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8">
        <f t="shared" si="82"/>
        <v>1</v>
      </c>
      <c r="Z408" s="42">
        <f t="shared" ca="1" si="83"/>
        <v>1</v>
      </c>
      <c r="AA408" s="43">
        <f t="shared" ca="1" si="84"/>
        <v>0</v>
      </c>
      <c r="AB408" s="202" t="str">
        <f t="shared" ca="1" si="85"/>
        <v/>
      </c>
      <c r="AC408" s="44" t="str">
        <f t="shared" si="87"/>
        <v>SI</v>
      </c>
      <c r="AD408" s="762" t="s">
        <v>1714</v>
      </c>
      <c r="AE408" s="173" t="s">
        <v>1257</v>
      </c>
      <c r="AF408" s="173" t="s">
        <v>2183</v>
      </c>
      <c r="AG408" s="173" t="s">
        <v>1178</v>
      </c>
      <c r="AH408" s="281" t="s">
        <v>559</v>
      </c>
      <c r="AI408" s="174"/>
      <c r="AJ408" s="305" t="s">
        <v>600</v>
      </c>
      <c r="AK408" s="181" t="str">
        <f t="shared" ca="1" si="86"/>
        <v>TERMINO</v>
      </c>
      <c r="AL408" s="310" t="s">
        <v>582</v>
      </c>
      <c r="AM408" s="176" t="s">
        <v>391</v>
      </c>
      <c r="AN408" s="872" t="str">
        <f>IFERROR(VLOOKUP(E408,'liquidaciones '!$B$2:$C$1048576,2,0),"NO")</f>
        <v>LIQUIDADO</v>
      </c>
      <c r="AO408" s="972" t="str">
        <f>IFERROR(VLOOKUP(E408,'liquidaciones '!$B$2:$I$1048576,8,0),"")</f>
        <v>MANUEL ROJAS</v>
      </c>
      <c r="AP408" s="339"/>
      <c r="AQ408" s="177" t="s">
        <v>390</v>
      </c>
      <c r="AR408" s="177" t="s">
        <v>1511</v>
      </c>
      <c r="AS408" s="435"/>
      <c r="AT408" s="992"/>
    </row>
    <row r="409" spans="3:46" ht="45" x14ac:dyDescent="0.25">
      <c r="C409" s="439">
        <v>263</v>
      </c>
      <c r="D409" s="439" t="str">
        <f>K409&amp;C409</f>
        <v>2016263</v>
      </c>
      <c r="E409" s="892" t="s">
        <v>2489</v>
      </c>
      <c r="F409" s="280" t="s">
        <v>2490</v>
      </c>
      <c r="G409" s="930">
        <v>79646061</v>
      </c>
      <c r="H409" s="1033" t="s">
        <v>3035</v>
      </c>
      <c r="I409" s="936">
        <v>44000000</v>
      </c>
      <c r="J409" s="715" t="s">
        <v>2495</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8">
        <f t="shared" si="82"/>
        <v>1</v>
      </c>
      <c r="Z409" s="42">
        <f t="shared" ca="1" si="83"/>
        <v>1</v>
      </c>
      <c r="AA409" s="43">
        <f t="shared" ca="1" si="84"/>
        <v>0</v>
      </c>
      <c r="AB409" s="202" t="str">
        <f t="shared" ca="1" si="85"/>
        <v/>
      </c>
      <c r="AC409" s="44" t="str">
        <f t="shared" si="87"/>
        <v>SI</v>
      </c>
      <c r="AD409" s="762" t="s">
        <v>1714</v>
      </c>
      <c r="AE409" s="173" t="s">
        <v>1257</v>
      </c>
      <c r="AF409" s="173" t="s">
        <v>2491</v>
      </c>
      <c r="AG409" s="173"/>
      <c r="AH409" s="281" t="s">
        <v>562</v>
      </c>
      <c r="AI409" s="305"/>
      <c r="AJ409" s="305" t="s">
        <v>600</v>
      </c>
      <c r="AK409" s="181" t="str">
        <f t="shared" ca="1" si="86"/>
        <v>TERMINO</v>
      </c>
      <c r="AL409" s="310" t="s">
        <v>582</v>
      </c>
      <c r="AM409" s="176" t="s">
        <v>391</v>
      </c>
      <c r="AN409" s="872" t="str">
        <f>IFERROR(VLOOKUP(E409,'liquidaciones '!$B$2:$C$1048576,2,0),"NO")</f>
        <v>LIQUIDADO</v>
      </c>
      <c r="AO409" s="972" t="str">
        <f>IFERROR(VLOOKUP(E409,'liquidaciones '!$B$2:$I$1048576,8,0),"")</f>
        <v>JAVIER QUINTERO</v>
      </c>
      <c r="AP409" s="339"/>
      <c r="AQ409" s="177" t="str">
        <f ca="1">IF((TODAY()-T409&lt;900),"SI","NO")</f>
        <v>SI</v>
      </c>
      <c r="AR409" s="177" t="s">
        <v>2605</v>
      </c>
      <c r="AS409" s="435"/>
      <c r="AT409" s="992"/>
    </row>
    <row r="410" spans="3:46" ht="45" x14ac:dyDescent="0.25">
      <c r="C410" s="439">
        <v>265</v>
      </c>
      <c r="D410" s="439" t="str">
        <f>K410&amp;C410</f>
        <v>2016265</v>
      </c>
      <c r="E410" s="892" t="s">
        <v>2492</v>
      </c>
      <c r="F410" s="280" t="s">
        <v>2650</v>
      </c>
      <c r="G410" s="930">
        <v>52499785</v>
      </c>
      <c r="H410" s="1033" t="s">
        <v>2493</v>
      </c>
      <c r="I410" s="936">
        <v>44000000</v>
      </c>
      <c r="J410" s="715" t="s">
        <v>2492</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8">
        <f t="shared" si="82"/>
        <v>1</v>
      </c>
      <c r="Z410" s="42">
        <f t="shared" ca="1" si="83"/>
        <v>1</v>
      </c>
      <c r="AA410" s="43">
        <f t="shared" ca="1" si="84"/>
        <v>0</v>
      </c>
      <c r="AB410" s="202" t="str">
        <f t="shared" ca="1" si="85"/>
        <v/>
      </c>
      <c r="AC410" s="44" t="str">
        <f t="shared" si="87"/>
        <v>SI</v>
      </c>
      <c r="AD410" s="762" t="s">
        <v>1714</v>
      </c>
      <c r="AE410" s="173" t="s">
        <v>1257</v>
      </c>
      <c r="AF410" s="173" t="s">
        <v>2494</v>
      </c>
      <c r="AG410" s="173"/>
      <c r="AH410" s="281"/>
      <c r="AI410" s="305"/>
      <c r="AJ410" s="305" t="s">
        <v>600</v>
      </c>
      <c r="AK410" s="181" t="str">
        <f t="shared" ca="1" si="86"/>
        <v>TERMINO</v>
      </c>
      <c r="AL410" s="310" t="s">
        <v>582</v>
      </c>
      <c r="AM410" s="176" t="s">
        <v>391</v>
      </c>
      <c r="AN410" s="872" t="str">
        <f>IFERROR(VLOOKUP(E410,'liquidaciones '!$B$2:$C$1048576,2,0),"NO")</f>
        <v>LIQUIDADO</v>
      </c>
      <c r="AO410" s="972" t="str">
        <f>IFERROR(VLOOKUP(E410,'liquidaciones '!$B$2:$I$1048576,8,0),"")</f>
        <v>ANDREA CASAS</v>
      </c>
      <c r="AP410" s="339"/>
      <c r="AQ410" s="177" t="str">
        <f ca="1">IF((TODAY()-T410&lt;900),"SI","NO")</f>
        <v>SI</v>
      </c>
      <c r="AR410" s="177" t="s">
        <v>981</v>
      </c>
      <c r="AS410" s="435"/>
      <c r="AT410" s="992"/>
    </row>
    <row r="411" spans="3:46" ht="33.75" x14ac:dyDescent="0.25">
      <c r="C411" s="439">
        <v>127</v>
      </c>
      <c r="D411" s="439"/>
      <c r="E411" s="892" t="s">
        <v>2496</v>
      </c>
      <c r="F411" s="280" t="s">
        <v>2727</v>
      </c>
      <c r="G411" s="930">
        <v>32853319</v>
      </c>
      <c r="H411" s="1033" t="s">
        <v>3036</v>
      </c>
      <c r="I411" s="936">
        <v>44000000</v>
      </c>
      <c r="J411" s="715" t="s">
        <v>2496</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8">
        <f t="shared" si="82"/>
        <v>1</v>
      </c>
      <c r="Z411" s="42">
        <f t="shared" ca="1" si="83"/>
        <v>1</v>
      </c>
      <c r="AA411" s="43">
        <f t="shared" ca="1" si="84"/>
        <v>0</v>
      </c>
      <c r="AB411" s="202" t="str">
        <f t="shared" ca="1" si="85"/>
        <v/>
      </c>
      <c r="AC411" s="44" t="str">
        <f t="shared" si="87"/>
        <v>SI</v>
      </c>
      <c r="AD411" s="762" t="s">
        <v>1714</v>
      </c>
      <c r="AE411" s="173" t="s">
        <v>1257</v>
      </c>
      <c r="AF411" s="173" t="s">
        <v>2497</v>
      </c>
      <c r="AG411" s="173" t="s">
        <v>2504</v>
      </c>
      <c r="AH411" s="281" t="s">
        <v>565</v>
      </c>
      <c r="AI411" s="305"/>
      <c r="AJ411" s="305" t="s">
        <v>600</v>
      </c>
      <c r="AK411" s="181" t="str">
        <f t="shared" ca="1" si="86"/>
        <v>TERMINO</v>
      </c>
      <c r="AL411" s="310" t="s">
        <v>582</v>
      </c>
      <c r="AM411" s="176" t="s">
        <v>391</v>
      </c>
      <c r="AN411" s="872" t="str">
        <f>IFERROR(VLOOKUP(E411,'liquidaciones '!$B$2:$C$1048576,2,0),"NO")</f>
        <v>LIQUIDADO</v>
      </c>
      <c r="AO411" s="972" t="str">
        <f>IFERROR(VLOOKUP(E411,'liquidaciones '!$B$2:$I$1048576,8,0),"")</f>
        <v>EDWARD MORENO</v>
      </c>
      <c r="AP411" s="339"/>
      <c r="AQ411" s="177" t="s">
        <v>390</v>
      </c>
      <c r="AR411" s="177" t="s">
        <v>1511</v>
      </c>
      <c r="AS411" s="435"/>
      <c r="AT411" s="992"/>
    </row>
    <row r="412" spans="3:46" ht="45" x14ac:dyDescent="0.25">
      <c r="C412" s="439">
        <v>264</v>
      </c>
      <c r="D412" s="439"/>
      <c r="E412" s="892" t="s">
        <v>2498</v>
      </c>
      <c r="F412" s="280" t="s">
        <v>2499</v>
      </c>
      <c r="G412" s="930">
        <v>63548489</v>
      </c>
      <c r="H412" s="1033" t="s">
        <v>3037</v>
      </c>
      <c r="I412" s="936">
        <v>44000000</v>
      </c>
      <c r="J412" s="715" t="s">
        <v>2498</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8">
        <f t="shared" si="82"/>
        <v>1</v>
      </c>
      <c r="Z412" s="42">
        <f t="shared" ca="1" si="83"/>
        <v>1</v>
      </c>
      <c r="AA412" s="43">
        <f t="shared" ca="1" si="84"/>
        <v>0</v>
      </c>
      <c r="AB412" s="202" t="str">
        <f t="shared" ca="1" si="85"/>
        <v/>
      </c>
      <c r="AC412" s="44" t="str">
        <f t="shared" si="87"/>
        <v>SI</v>
      </c>
      <c r="AD412" s="762" t="s">
        <v>1714</v>
      </c>
      <c r="AE412" s="173" t="s">
        <v>1257</v>
      </c>
      <c r="AF412" s="173" t="s">
        <v>2500</v>
      </c>
      <c r="AG412" s="173" t="s">
        <v>1431</v>
      </c>
      <c r="AH412" s="281" t="s">
        <v>564</v>
      </c>
      <c r="AI412" s="305"/>
      <c r="AJ412" s="305" t="s">
        <v>600</v>
      </c>
      <c r="AK412" s="181" t="str">
        <f t="shared" ca="1" si="86"/>
        <v>TERMINO</v>
      </c>
      <c r="AL412" s="310" t="s">
        <v>582</v>
      </c>
      <c r="AM412" s="176" t="s">
        <v>391</v>
      </c>
      <c r="AN412" s="872" t="str">
        <f>IFERROR(VLOOKUP(E412,'liquidaciones '!$B$2:$C$1048576,2,0),"NO")</f>
        <v>LIQUIDADO</v>
      </c>
      <c r="AO412" s="972" t="str">
        <f>IFERROR(VLOOKUP(E412,'liquidaciones '!$B$2:$I$1048576,8,0),"")</f>
        <v>EDWARD MORENO</v>
      </c>
      <c r="AP412" s="339"/>
      <c r="AQ412" s="177" t="s">
        <v>390</v>
      </c>
      <c r="AR412" s="177" t="s">
        <v>981</v>
      </c>
      <c r="AS412" s="435"/>
      <c r="AT412" s="992"/>
    </row>
    <row r="413" spans="3:46" ht="28.5" customHeight="1" x14ac:dyDescent="0.25">
      <c r="C413" s="439"/>
      <c r="D413" s="439"/>
      <c r="E413" s="306" t="s">
        <v>2501</v>
      </c>
      <c r="F413" s="280" t="s">
        <v>203</v>
      </c>
      <c r="G413" s="930">
        <v>860049921</v>
      </c>
      <c r="H413" s="1033" t="s">
        <v>3038</v>
      </c>
      <c r="I413" s="936">
        <v>5086020</v>
      </c>
      <c r="J413" s="715" t="s">
        <v>2501</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8">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2" t="str">
        <f>IFERROR(VLOOKUP(E413,'liquidaciones '!$B$2:$C$1048576,2,0),"NO")</f>
        <v>LIQUIDADO</v>
      </c>
      <c r="AO413" s="972" t="str">
        <f>IFERROR(VLOOKUP(E413,'liquidaciones '!$B$2:$I$1048576,8,0),"")</f>
        <v>JULIETH ANGARITA</v>
      </c>
      <c r="AP413" s="339"/>
      <c r="AQ413" s="177" t="s">
        <v>390</v>
      </c>
      <c r="AR413" s="177" t="s">
        <v>2606</v>
      </c>
      <c r="AS413" s="435"/>
      <c r="AT413" s="992"/>
    </row>
    <row r="414" spans="3:46" ht="78.75" x14ac:dyDescent="0.25">
      <c r="C414" s="439">
        <v>262</v>
      </c>
      <c r="D414" s="439"/>
      <c r="E414" s="306" t="s">
        <v>2502</v>
      </c>
      <c r="F414" s="280" t="s">
        <v>2503</v>
      </c>
      <c r="G414" s="930">
        <v>79951750</v>
      </c>
      <c r="H414" s="1033" t="s">
        <v>2949</v>
      </c>
      <c r="I414" s="936">
        <v>36000000</v>
      </c>
      <c r="J414" s="715" t="s">
        <v>2502</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8">
        <f t="shared" si="82"/>
        <v>1</v>
      </c>
      <c r="Z414" s="42">
        <f t="shared" ca="1" si="83"/>
        <v>1</v>
      </c>
      <c r="AA414" s="43">
        <f t="shared" ca="1" si="84"/>
        <v>0</v>
      </c>
      <c r="AB414" s="202" t="str">
        <f t="shared" ca="1" si="85"/>
        <v/>
      </c>
      <c r="AC414" s="44" t="str">
        <f t="shared" si="87"/>
        <v>SI</v>
      </c>
      <c r="AD414" s="762" t="s">
        <v>1714</v>
      </c>
      <c r="AE414" s="173" t="s">
        <v>1257</v>
      </c>
      <c r="AF414" s="173" t="s">
        <v>2596</v>
      </c>
      <c r="AG414" s="173" t="s">
        <v>1178</v>
      </c>
      <c r="AH414" s="281" t="s">
        <v>559</v>
      </c>
      <c r="AI414" s="305"/>
      <c r="AJ414" s="305" t="s">
        <v>600</v>
      </c>
      <c r="AK414" s="181" t="str">
        <f t="shared" ca="1" si="86"/>
        <v>TERMINO</v>
      </c>
      <c r="AL414" s="181" t="s">
        <v>582</v>
      </c>
      <c r="AM414" s="176" t="s">
        <v>391</v>
      </c>
      <c r="AN414" s="872" t="str">
        <f>IFERROR(VLOOKUP(E414,'liquidaciones '!$B$2:$C$1048576,2,0),"NO")</f>
        <v>LIQUIDADO</v>
      </c>
      <c r="AO414" s="972" t="str">
        <f>IFERROR(VLOOKUP(E414,'liquidaciones '!$B$2:$I$1048576,8,0),"")</f>
        <v>JAVIER QUINTERO</v>
      </c>
      <c r="AP414" s="339"/>
      <c r="AQ414" s="177" t="s">
        <v>390</v>
      </c>
      <c r="AR414" s="177" t="s">
        <v>2605</v>
      </c>
      <c r="AS414" s="435"/>
      <c r="AT414" s="992"/>
    </row>
    <row r="415" spans="3:46" ht="69" customHeight="1" x14ac:dyDescent="0.25">
      <c r="C415" s="439">
        <v>215</v>
      </c>
      <c r="D415" s="439"/>
      <c r="E415" s="892" t="s">
        <v>2505</v>
      </c>
      <c r="F415" s="280" t="s">
        <v>1017</v>
      </c>
      <c r="G415" s="930" t="s">
        <v>2879</v>
      </c>
      <c r="H415" s="1033" t="s">
        <v>3039</v>
      </c>
      <c r="I415" s="936">
        <v>8110000</v>
      </c>
      <c r="J415" s="715" t="s">
        <v>2515</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8">
        <f t="shared" si="82"/>
        <v>0.97130702836004934</v>
      </c>
      <c r="Z415" s="42">
        <f t="shared" ca="1" si="83"/>
        <v>1</v>
      </c>
      <c r="AA415" s="43">
        <f t="shared" ca="1" si="84"/>
        <v>2.869297163995066E-2</v>
      </c>
      <c r="AB415" s="202" t="str">
        <f t="shared" ca="1" si="85"/>
        <v/>
      </c>
      <c r="AC415" s="44" t="str">
        <f t="shared" si="87"/>
        <v>NO</v>
      </c>
      <c r="AD415" s="762" t="s">
        <v>2516</v>
      </c>
      <c r="AE415" s="173" t="s">
        <v>1257</v>
      </c>
      <c r="AF415" s="301" t="s">
        <v>1145</v>
      </c>
      <c r="AG415" s="173" t="s">
        <v>1443</v>
      </c>
      <c r="AH415" s="281" t="s">
        <v>560</v>
      </c>
      <c r="AI415" s="174" t="s">
        <v>1381</v>
      </c>
      <c r="AJ415" s="305" t="s">
        <v>600</v>
      </c>
      <c r="AK415" s="181" t="str">
        <f t="shared" ca="1" si="86"/>
        <v>TERMINO</v>
      </c>
      <c r="AL415" s="310" t="s">
        <v>576</v>
      </c>
      <c r="AM415" s="176" t="s">
        <v>390</v>
      </c>
      <c r="AN415" s="872" t="str">
        <f>IFERROR(VLOOKUP(E415,'liquidaciones '!$B$2:$C$1048576,2,0),"NO")</f>
        <v>LIQUIDADO</v>
      </c>
      <c r="AO415" s="972" t="str">
        <f>IFERROR(VLOOKUP(E415,'liquidaciones '!$B$2:$I$1048576,8,0),"")</f>
        <v>MANUEL ROJAS</v>
      </c>
      <c r="AP415" s="339"/>
      <c r="AQ415" s="177" t="s">
        <v>390</v>
      </c>
      <c r="AR415" s="177" t="s">
        <v>2605</v>
      </c>
      <c r="AS415" s="435"/>
      <c r="AT415" s="992"/>
    </row>
    <row r="416" spans="3:46" ht="56.25" x14ac:dyDescent="0.25">
      <c r="C416" s="439">
        <v>261</v>
      </c>
      <c r="D416" s="439"/>
      <c r="E416" s="306" t="s">
        <v>2506</v>
      </c>
      <c r="F416" s="280" t="s">
        <v>1968</v>
      </c>
      <c r="G416" s="930">
        <v>51647190</v>
      </c>
      <c r="H416" s="1033" t="s">
        <v>2507</v>
      </c>
      <c r="I416" s="936">
        <v>44000000</v>
      </c>
      <c r="J416" s="715" t="s">
        <v>2506</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8">
        <f t="shared" si="82"/>
        <v>1</v>
      </c>
      <c r="Z416" s="42">
        <f t="shared" ca="1" si="83"/>
        <v>1</v>
      </c>
      <c r="AA416" s="43">
        <f t="shared" ca="1" si="84"/>
        <v>0</v>
      </c>
      <c r="AB416" s="202" t="str">
        <f t="shared" ca="1" si="85"/>
        <v/>
      </c>
      <c r="AC416" s="44" t="str">
        <f t="shared" si="87"/>
        <v>SI</v>
      </c>
      <c r="AD416" s="762" t="s">
        <v>1714</v>
      </c>
      <c r="AE416" s="173" t="s">
        <v>1257</v>
      </c>
      <c r="AF416" s="281" t="s">
        <v>1971</v>
      </c>
      <c r="AG416" s="173" t="s">
        <v>1430</v>
      </c>
      <c r="AH416" s="281" t="s">
        <v>563</v>
      </c>
      <c r="AI416" s="305"/>
      <c r="AJ416" s="305" t="s">
        <v>600</v>
      </c>
      <c r="AK416" s="181" t="str">
        <f t="shared" ca="1" si="86"/>
        <v>TERMINO</v>
      </c>
      <c r="AL416" s="310" t="s">
        <v>582</v>
      </c>
      <c r="AM416" s="176" t="s">
        <v>391</v>
      </c>
      <c r="AN416" s="872" t="str">
        <f>IFERROR(VLOOKUP(E416,'liquidaciones '!$B$2:$C$1048576,2,0),"NO")</f>
        <v>LIQUIDADO</v>
      </c>
      <c r="AO416" s="972" t="str">
        <f>IFERROR(VLOOKUP(E416,'liquidaciones '!$B$2:$I$1048576,8,0),"")</f>
        <v>EDWARD MORENO</v>
      </c>
      <c r="AP416" s="339"/>
      <c r="AQ416" s="177" t="s">
        <v>390</v>
      </c>
      <c r="AR416" s="177" t="s">
        <v>1511</v>
      </c>
      <c r="AS416" s="435"/>
      <c r="AT416" s="992"/>
    </row>
    <row r="417" spans="3:46" ht="22.5" x14ac:dyDescent="0.25">
      <c r="C417" s="439">
        <v>196</v>
      </c>
      <c r="D417" s="439"/>
      <c r="E417" s="306" t="s">
        <v>2510</v>
      </c>
      <c r="F417" s="280" t="s">
        <v>2511</v>
      </c>
      <c r="G417" s="930" t="s">
        <v>2512</v>
      </c>
      <c r="H417" s="1033" t="s">
        <v>2514</v>
      </c>
      <c r="I417" s="936">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2513</v>
      </c>
      <c r="Y417" s="878">
        <f t="shared" si="82"/>
        <v>0.99996075017804864</v>
      </c>
      <c r="Z417" s="42" t="e">
        <f t="shared" ca="1" si="83"/>
        <v>#DIV/0!</v>
      </c>
      <c r="AA417" s="43" t="e">
        <f t="shared" ca="1" si="84"/>
        <v>#DIV/0!</v>
      </c>
      <c r="AB417" s="202" t="e">
        <f t="shared" ca="1" si="85"/>
        <v>#DIV/0!</v>
      </c>
      <c r="AC417" s="44" t="str">
        <f t="shared" si="87"/>
        <v>SI</v>
      </c>
      <c r="AD417" s="762"/>
      <c r="AE417" s="173" t="s">
        <v>1257</v>
      </c>
      <c r="AF417" s="173" t="s">
        <v>2405</v>
      </c>
      <c r="AG417" s="173"/>
      <c r="AH417" s="281" t="s">
        <v>560</v>
      </c>
      <c r="AI417" s="305" t="s">
        <v>1320</v>
      </c>
      <c r="AJ417" s="305" t="s">
        <v>600</v>
      </c>
      <c r="AK417" s="181" t="str">
        <f t="shared" ca="1" si="86"/>
        <v>TERMINO</v>
      </c>
      <c r="AL417" s="310"/>
      <c r="AM417" s="176"/>
      <c r="AN417" s="872" t="str">
        <f>IFERROR(VLOOKUP(E417,'liquidaciones '!$B$2:$C$1048576,2,0),"NO")</f>
        <v>LIQUIDADO</v>
      </c>
      <c r="AO417" s="972" t="str">
        <f>IFERROR(VLOOKUP(E417,'liquidaciones '!$B$2:$I$1048576,8,0),"")</f>
        <v>JULIETH ANGARITA</v>
      </c>
      <c r="AP417" s="339"/>
      <c r="AQ417" s="177" t="s">
        <v>390</v>
      </c>
      <c r="AR417" s="177"/>
      <c r="AS417" s="435"/>
      <c r="AT417" s="992"/>
    </row>
    <row r="418" spans="3:46" ht="45" x14ac:dyDescent="0.25">
      <c r="C418" s="439">
        <v>218</v>
      </c>
      <c r="D418" s="439"/>
      <c r="E418" s="306" t="s">
        <v>2517</v>
      </c>
      <c r="F418" s="280" t="s">
        <v>2518</v>
      </c>
      <c r="G418" s="930">
        <v>900048718</v>
      </c>
      <c r="H418" s="1033" t="s">
        <v>3040</v>
      </c>
      <c r="I418" s="936">
        <v>23000000</v>
      </c>
      <c r="J418" s="715" t="s">
        <v>2519</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2520</v>
      </c>
      <c r="Y418" s="878">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2" t="str">
        <f>IFERROR(VLOOKUP(E418,'liquidaciones '!$B$2:$C$1048576,2,0),"NO")</f>
        <v>LIQUIDADO</v>
      </c>
      <c r="AO418" s="972" t="str">
        <f>IFERROR(VLOOKUP(E418,'liquidaciones '!$B$2:$I$1048576,8,0),"")</f>
        <v>DORA PINILLA</v>
      </c>
      <c r="AP418" s="339"/>
      <c r="AQ418" s="177" t="s">
        <v>390</v>
      </c>
      <c r="AR418" s="177" t="s">
        <v>2608</v>
      </c>
      <c r="AS418" s="435"/>
      <c r="AT418" s="992"/>
    </row>
    <row r="419" spans="3:46" ht="33.75" x14ac:dyDescent="0.25">
      <c r="C419" s="439">
        <v>146</v>
      </c>
      <c r="D419" s="439"/>
      <c r="E419" s="306" t="s">
        <v>2521</v>
      </c>
      <c r="F419" s="280" t="s">
        <v>1909</v>
      </c>
      <c r="G419" s="930">
        <v>860019063</v>
      </c>
      <c r="H419" s="1033" t="s">
        <v>3041</v>
      </c>
      <c r="I419" s="936">
        <v>15000000</v>
      </c>
      <c r="J419" s="715" t="s">
        <v>2521</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8">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2522</v>
      </c>
      <c r="AG419" s="173" t="s">
        <v>1443</v>
      </c>
      <c r="AH419" s="281" t="s">
        <v>560</v>
      </c>
      <c r="AI419" s="174" t="s">
        <v>1320</v>
      </c>
      <c r="AJ419" s="305" t="s">
        <v>600</v>
      </c>
      <c r="AK419" s="181" t="str">
        <f t="shared" ca="1" si="86"/>
        <v>TERMINO</v>
      </c>
      <c r="AL419" s="310" t="s">
        <v>582</v>
      </c>
      <c r="AM419" s="176" t="s">
        <v>390</v>
      </c>
      <c r="AN419" s="872" t="str">
        <f>IFERROR(VLOOKUP(E419,'liquidaciones '!$B$2:$C$1048576,2,0),"NO")</f>
        <v>LIQUIDADO</v>
      </c>
      <c r="AO419" s="972" t="str">
        <f>IFERROR(VLOOKUP(E419,'liquidaciones '!$B$2:$I$1048576,8,0),"")</f>
        <v>MANUEL ROJAS</v>
      </c>
      <c r="AP419" s="339"/>
      <c r="AQ419" s="177" t="s">
        <v>390</v>
      </c>
      <c r="AR419" s="177" t="s">
        <v>2605</v>
      </c>
      <c r="AS419" s="435"/>
      <c r="AT419" s="992"/>
    </row>
    <row r="420" spans="3:46" ht="45" x14ac:dyDescent="0.25">
      <c r="C420" s="439">
        <v>231</v>
      </c>
      <c r="D420" s="439"/>
      <c r="E420" s="306" t="s">
        <v>2524</v>
      </c>
      <c r="F420" s="890" t="s">
        <v>41</v>
      </c>
      <c r="G420" s="930">
        <v>830034865</v>
      </c>
      <c r="H420" s="1033" t="s">
        <v>3042</v>
      </c>
      <c r="I420" s="936">
        <v>53964000</v>
      </c>
      <c r="J420" s="715" t="s">
        <v>2550</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2525</v>
      </c>
      <c r="Y420" s="878">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2" t="str">
        <f>IFERROR(VLOOKUP(E420,'liquidaciones '!$B$2:$C$1048576,2,0),"NO")</f>
        <v>LIQUIDADO</v>
      </c>
      <c r="AO420" s="972" t="str">
        <f>IFERROR(VLOOKUP(E420,'liquidaciones '!$B$2:$I$1048576,8,0),"")</f>
        <v>MANUEL ROJAS</v>
      </c>
      <c r="AP420" s="339"/>
      <c r="AQ420" s="177" t="s">
        <v>390</v>
      </c>
      <c r="AR420" s="177" t="s">
        <v>981</v>
      </c>
      <c r="AS420" s="435"/>
      <c r="AT420" s="992"/>
    </row>
    <row r="421" spans="3:46" ht="45" x14ac:dyDescent="0.25">
      <c r="C421" s="439">
        <v>223</v>
      </c>
      <c r="D421" s="439" t="str">
        <f>K421&amp;C421</f>
        <v>2016223</v>
      </c>
      <c r="E421" s="880" t="s">
        <v>2526</v>
      </c>
      <c r="F421" s="879" t="s">
        <v>2527</v>
      </c>
      <c r="G421" s="930">
        <v>4831</v>
      </c>
      <c r="H421" s="1033" t="s">
        <v>3043</v>
      </c>
      <c r="I421" s="937">
        <v>23707000</v>
      </c>
      <c r="J421" s="715" t="s">
        <v>2532</v>
      </c>
      <c r="K421" s="295">
        <v>2016</v>
      </c>
      <c r="L421" s="548">
        <v>42523</v>
      </c>
      <c r="M421" s="882">
        <v>42556</v>
      </c>
      <c r="N421" s="881">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8">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2" t="str">
        <f>IFERROR(VLOOKUP(E421,'liquidaciones '!$B$2:$C$1048576,2,0),"NO")</f>
        <v>LIQUIDADO</v>
      </c>
      <c r="AO421" s="972">
        <f>IFERROR(VLOOKUP(E421,'liquidaciones '!$B$2:$I$1048576,8,0),"")</f>
        <v>0</v>
      </c>
      <c r="AP421" s="339"/>
      <c r="AQ421" s="177" t="s">
        <v>390</v>
      </c>
      <c r="AR421" s="177" t="s">
        <v>2977</v>
      </c>
      <c r="AS421" s="435"/>
      <c r="AT421" s="992"/>
    </row>
    <row r="422" spans="3:46" ht="45" x14ac:dyDescent="0.25">
      <c r="C422" s="439">
        <v>84</v>
      </c>
      <c r="D422" s="439" t="str">
        <f>K422&amp;C422</f>
        <v>201684</v>
      </c>
      <c r="E422" s="763" t="s">
        <v>2528</v>
      </c>
      <c r="F422" s="879" t="s">
        <v>2047</v>
      </c>
      <c r="G422" s="930">
        <v>35493364</v>
      </c>
      <c r="H422" s="1033" t="s">
        <v>2529</v>
      </c>
      <c r="I422" s="936">
        <v>38500000</v>
      </c>
      <c r="J422" s="715" t="s">
        <v>2528</v>
      </c>
      <c r="K422" s="295">
        <v>2016</v>
      </c>
      <c r="L422" s="548">
        <v>42550</v>
      </c>
      <c r="M422" s="882">
        <v>42556</v>
      </c>
      <c r="N422" s="882">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2531</v>
      </c>
      <c r="Y422" s="878">
        <f t="shared" si="82"/>
        <v>1</v>
      </c>
      <c r="Z422" s="42">
        <f t="shared" ca="1" si="83"/>
        <v>1</v>
      </c>
      <c r="AA422" s="43">
        <f t="shared" ca="1" si="84"/>
        <v>0</v>
      </c>
      <c r="AB422" s="202" t="str">
        <f t="shared" ca="1" si="85"/>
        <v/>
      </c>
      <c r="AC422" s="44" t="str">
        <f t="shared" si="87"/>
        <v>SI</v>
      </c>
      <c r="AD422" s="762" t="s">
        <v>1714</v>
      </c>
      <c r="AE422" s="173" t="s">
        <v>1257</v>
      </c>
      <c r="AF422" s="173" t="s">
        <v>2530</v>
      </c>
      <c r="AG422" s="173"/>
      <c r="AH422" s="281" t="s">
        <v>560</v>
      </c>
      <c r="AI422" s="305"/>
      <c r="AJ422" s="305" t="s">
        <v>600</v>
      </c>
      <c r="AK422" s="181" t="str">
        <f t="shared" ca="1" si="86"/>
        <v>TERMINO</v>
      </c>
      <c r="AL422" s="181" t="s">
        <v>576</v>
      </c>
      <c r="AM422" s="176" t="s">
        <v>391</v>
      </c>
      <c r="AN422" s="872" t="str">
        <f>IFERROR(VLOOKUP(E422,'liquidaciones '!$B$2:$C$1048576,2,0),"NO")</f>
        <v>LIQUIDADO</v>
      </c>
      <c r="AO422" s="972" t="str">
        <f>IFERROR(VLOOKUP(E422,'liquidaciones '!$B$2:$I$1048576,8,0),"")</f>
        <v>JAVIER QUINTERO</v>
      </c>
      <c r="AP422" s="339"/>
      <c r="AQ422" s="177" t="s">
        <v>390</v>
      </c>
      <c r="AR422" s="177" t="s">
        <v>2605</v>
      </c>
      <c r="AS422" s="435"/>
      <c r="AT422" s="992"/>
    </row>
    <row r="423" spans="3:46" ht="69.75" customHeight="1" x14ac:dyDescent="0.25">
      <c r="C423" s="439">
        <v>97</v>
      </c>
      <c r="D423" s="439"/>
      <c r="E423" s="763" t="s">
        <v>2533</v>
      </c>
      <c r="F423" s="890" t="s">
        <v>2534</v>
      </c>
      <c r="G423" s="930" t="s">
        <v>2535</v>
      </c>
      <c r="H423" s="1033" t="s">
        <v>2536</v>
      </c>
      <c r="I423" s="936">
        <v>3712000</v>
      </c>
      <c r="J423" s="715" t="s">
        <v>2537</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5" t="s">
        <v>2541</v>
      </c>
      <c r="Y423" s="878">
        <f t="shared" si="82"/>
        <v>1</v>
      </c>
      <c r="Z423" s="42">
        <f t="shared" ca="1" si="83"/>
        <v>1</v>
      </c>
      <c r="AA423" s="43">
        <f t="shared" ca="1" si="84"/>
        <v>0</v>
      </c>
      <c r="AB423" s="202" t="str">
        <f t="shared" ca="1" si="85"/>
        <v/>
      </c>
      <c r="AC423" s="44" t="str">
        <f t="shared" si="87"/>
        <v>SI</v>
      </c>
      <c r="AD423" s="762" t="s">
        <v>1713</v>
      </c>
      <c r="AE423" s="173" t="s">
        <v>1257</v>
      </c>
      <c r="AF423" s="173" t="s">
        <v>2542</v>
      </c>
      <c r="AG423" s="883"/>
      <c r="AH423" s="281"/>
      <c r="AI423" s="305"/>
      <c r="AJ423" s="305" t="s">
        <v>600</v>
      </c>
      <c r="AK423" s="181" t="str">
        <f t="shared" ca="1" si="86"/>
        <v>TERMINO</v>
      </c>
      <c r="AL423" s="181" t="s">
        <v>576</v>
      </c>
      <c r="AM423" s="176" t="s">
        <v>391</v>
      </c>
      <c r="AN423" s="872" t="str">
        <f>IFERROR(VLOOKUP(E423,'liquidaciones '!$B$2:$C$1048576,2,0),"NO")</f>
        <v>LIQUIDADO</v>
      </c>
      <c r="AO423" s="972" t="str">
        <f>IFERROR(VLOOKUP(E423,'liquidaciones '!$B$2:$I$1048576,8,0),"")</f>
        <v>DORA PINILLA</v>
      </c>
      <c r="AP423" s="339"/>
      <c r="AQ423" s="177" t="s">
        <v>390</v>
      </c>
      <c r="AR423" s="177" t="s">
        <v>2609</v>
      </c>
      <c r="AS423" s="435"/>
      <c r="AT423" s="992"/>
    </row>
    <row r="424" spans="3:46" ht="45" x14ac:dyDescent="0.25">
      <c r="C424" s="439"/>
      <c r="D424" s="439"/>
      <c r="E424" s="763" t="s">
        <v>2538</v>
      </c>
      <c r="F424" s="280" t="s">
        <v>2539</v>
      </c>
      <c r="G424" s="930">
        <v>53097050</v>
      </c>
      <c r="H424" s="1033" t="s">
        <v>2540</v>
      </c>
      <c r="I424" s="936">
        <v>38500000</v>
      </c>
      <c r="J424" s="715" t="s">
        <v>2538</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8">
        <f t="shared" si="82"/>
        <v>1</v>
      </c>
      <c r="Z424" s="42">
        <f t="shared" ca="1" si="83"/>
        <v>1</v>
      </c>
      <c r="AA424" s="43">
        <f t="shared" ca="1" si="84"/>
        <v>0</v>
      </c>
      <c r="AB424" s="202" t="str">
        <f t="shared" ca="1" si="85"/>
        <v/>
      </c>
      <c r="AC424" s="44" t="str">
        <f t="shared" si="87"/>
        <v>SI</v>
      </c>
      <c r="AD424" s="762" t="s">
        <v>1714</v>
      </c>
      <c r="AE424" s="173" t="s">
        <v>1257</v>
      </c>
      <c r="AF424" s="173" t="s">
        <v>2596</v>
      </c>
      <c r="AG424" s="173" t="s">
        <v>1178</v>
      </c>
      <c r="AH424" s="281" t="s">
        <v>559</v>
      </c>
      <c r="AI424" s="305"/>
      <c r="AJ424" s="305" t="s">
        <v>600</v>
      </c>
      <c r="AK424" s="181" t="str">
        <f t="shared" ca="1" si="86"/>
        <v>TERMINO</v>
      </c>
      <c r="AL424" s="310" t="s">
        <v>582</v>
      </c>
      <c r="AM424" s="176" t="s">
        <v>391</v>
      </c>
      <c r="AN424" s="872" t="str">
        <f>IFERROR(VLOOKUP(E424,'liquidaciones '!$B$2:$C$1048576,2,0),"NO")</f>
        <v>LIQUIDADO</v>
      </c>
      <c r="AO424" s="972" t="str">
        <f>IFERROR(VLOOKUP(E424,'liquidaciones '!$B$2:$I$1048576,8,0),"")</f>
        <v>JAVIER QUINTERO</v>
      </c>
      <c r="AP424" s="339"/>
      <c r="AQ424" s="177" t="s">
        <v>390</v>
      </c>
      <c r="AR424" s="177" t="s">
        <v>1511</v>
      </c>
      <c r="AS424" s="435"/>
      <c r="AT424" s="992"/>
    </row>
    <row r="425" spans="3:46" ht="90" x14ac:dyDescent="0.25">
      <c r="C425" s="439">
        <v>198</v>
      </c>
      <c r="D425" s="439" t="str">
        <f>K425&amp;C425</f>
        <v>2016198</v>
      </c>
      <c r="E425" s="763" t="s">
        <v>2543</v>
      </c>
      <c r="F425" s="280" t="s">
        <v>2544</v>
      </c>
      <c r="G425" s="930">
        <v>900986082</v>
      </c>
      <c r="H425" s="1033" t="s">
        <v>3044</v>
      </c>
      <c r="I425" s="936">
        <v>485820000</v>
      </c>
      <c r="J425" s="715" t="s">
        <v>2545</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8">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2" t="str">
        <f>IFERROR(VLOOKUP(E425,'liquidaciones '!$B$2:$C$1048576,2,0),"NO")</f>
        <v>LIQUIDADO</v>
      </c>
      <c r="AO425" s="972" t="str">
        <f>IFERROR(VLOOKUP(E425,'liquidaciones '!$B$2:$I$1048576,8,0),"")</f>
        <v>MANUEL ROJAS</v>
      </c>
      <c r="AP425" s="339"/>
      <c r="AQ425" s="177" t="s">
        <v>390</v>
      </c>
      <c r="AR425" s="435" t="s">
        <v>3069</v>
      </c>
      <c r="AS425" s="108"/>
      <c r="AT425" s="992"/>
    </row>
    <row r="426" spans="3:46" ht="56.25" x14ac:dyDescent="0.25">
      <c r="C426" s="439">
        <v>124</v>
      </c>
      <c r="D426" s="439" t="str">
        <f>K426&amp;C426</f>
        <v>2016124</v>
      </c>
      <c r="E426" s="763" t="s">
        <v>2546</v>
      </c>
      <c r="F426" s="280" t="s">
        <v>2547</v>
      </c>
      <c r="G426" s="930">
        <v>80766038</v>
      </c>
      <c r="H426" s="1033" t="s">
        <v>2548</v>
      </c>
      <c r="I426" s="936">
        <v>38500000</v>
      </c>
      <c r="J426" s="715" t="s">
        <v>2546</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8">
        <f t="shared" si="82"/>
        <v>1</v>
      </c>
      <c r="Z426" s="42">
        <f t="shared" ca="1" si="83"/>
        <v>1</v>
      </c>
      <c r="AA426" s="43">
        <f t="shared" ca="1" si="84"/>
        <v>0</v>
      </c>
      <c r="AB426" s="202" t="str">
        <f t="shared" ca="1" si="85"/>
        <v/>
      </c>
      <c r="AC426" s="44" t="str">
        <f t="shared" si="87"/>
        <v>SI</v>
      </c>
      <c r="AD426" s="762" t="s">
        <v>1714</v>
      </c>
      <c r="AE426" s="173" t="s">
        <v>1258</v>
      </c>
      <c r="AF426" s="173" t="s">
        <v>2176</v>
      </c>
      <c r="AG426" s="173" t="s">
        <v>1178</v>
      </c>
      <c r="AH426" s="281" t="s">
        <v>559</v>
      </c>
      <c r="AI426" s="305"/>
      <c r="AJ426" s="305" t="s">
        <v>600</v>
      </c>
      <c r="AK426" s="181" t="str">
        <f t="shared" ca="1" si="86"/>
        <v>TERMINO</v>
      </c>
      <c r="AL426" s="181" t="s">
        <v>582</v>
      </c>
      <c r="AM426" s="176" t="s">
        <v>391</v>
      </c>
      <c r="AN426" s="872" t="str">
        <f>IFERROR(VLOOKUP(E426,'liquidaciones '!$B$2:$C$1048576,2,0),"NO")</f>
        <v>LIQUIDADO</v>
      </c>
      <c r="AO426" s="972" t="str">
        <f>IFERROR(VLOOKUP(E426,'liquidaciones '!$B$2:$I$1048576,8,0),"")</f>
        <v>JAVIER QUINTERO</v>
      </c>
      <c r="AP426" s="339"/>
      <c r="AQ426" s="177" t="s">
        <v>390</v>
      </c>
      <c r="AR426" s="177" t="s">
        <v>2605</v>
      </c>
      <c r="AS426" s="435"/>
      <c r="AT426" s="992"/>
    </row>
    <row r="427" spans="3:46" ht="22.5" x14ac:dyDescent="0.25">
      <c r="C427" s="439">
        <v>87</v>
      </c>
      <c r="D427" s="439"/>
      <c r="E427" s="763" t="s">
        <v>2552</v>
      </c>
      <c r="F427" s="280" t="s">
        <v>2027</v>
      </c>
      <c r="G427" s="930">
        <v>800198591</v>
      </c>
      <c r="H427" s="1033" t="s">
        <v>2553</v>
      </c>
      <c r="I427" s="936">
        <v>219700000</v>
      </c>
      <c r="J427" s="715" t="s">
        <v>2552</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2210</v>
      </c>
      <c r="Y427" s="878">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2" t="str">
        <f>IFERROR(VLOOKUP(E427,'liquidaciones '!$B$2:$C$1048576,2,0),"NO")</f>
        <v>LIQUIDADO</v>
      </c>
      <c r="AO427" s="972">
        <f>IFERROR(VLOOKUP(E427,'liquidaciones '!$B$2:$I$1048576,8,0),"")</f>
        <v>0</v>
      </c>
      <c r="AP427" s="339"/>
      <c r="AQ427" s="177" t="s">
        <v>390</v>
      </c>
      <c r="AR427" s="177" t="s">
        <v>2919</v>
      </c>
      <c r="AS427" s="435"/>
      <c r="AT427" s="992"/>
    </row>
    <row r="428" spans="3:46" ht="30" x14ac:dyDescent="0.25">
      <c r="C428" s="439">
        <v>133</v>
      </c>
      <c r="D428" s="439"/>
      <c r="E428" s="763" t="s">
        <v>2554</v>
      </c>
      <c r="F428" s="280" t="s">
        <v>2555</v>
      </c>
      <c r="G428" s="930">
        <v>805006014</v>
      </c>
      <c r="H428" s="1033" t="s">
        <v>3045</v>
      </c>
      <c r="I428" s="936">
        <v>1769832</v>
      </c>
      <c r="J428" s="715" t="s">
        <v>2556</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8">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2" t="str">
        <f>IFERROR(VLOOKUP(E428,'liquidaciones '!$B$2:$C$1048576,2,0),"NO")</f>
        <v>LIQUIDADO</v>
      </c>
      <c r="AO428" s="972" t="str">
        <f>IFERROR(VLOOKUP(E428,'liquidaciones '!$B$2:$I$1048576,8,0),"")</f>
        <v>MANUEL ROJAS</v>
      </c>
      <c r="AP428" s="339"/>
      <c r="AQ428" s="177" t="s">
        <v>390</v>
      </c>
      <c r="AR428" s="177" t="s">
        <v>2991</v>
      </c>
      <c r="AS428" s="998"/>
      <c r="AT428" s="992"/>
    </row>
    <row r="429" spans="3:46" ht="87" customHeight="1" x14ac:dyDescent="0.25">
      <c r="C429" s="439">
        <v>142</v>
      </c>
      <c r="D429" s="439" t="str">
        <f>K429&amp;C429</f>
        <v>2016142</v>
      </c>
      <c r="E429" s="763" t="s">
        <v>2557</v>
      </c>
      <c r="F429" s="280" t="s">
        <v>2558</v>
      </c>
      <c r="G429" s="930" t="s">
        <v>2559</v>
      </c>
      <c r="H429" s="1033" t="s">
        <v>3046</v>
      </c>
      <c r="I429" s="936">
        <v>12650000</v>
      </c>
      <c r="J429" s="715" t="s">
        <v>2561</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6" t="s">
        <v>2562</v>
      </c>
      <c r="Y429" s="878">
        <f t="shared" si="82"/>
        <v>1</v>
      </c>
      <c r="Z429" s="42">
        <f t="shared" ca="1" si="83"/>
        <v>1</v>
      </c>
      <c r="AA429" s="43">
        <f t="shared" ca="1" si="84"/>
        <v>0</v>
      </c>
      <c r="AB429" s="202" t="str">
        <f t="shared" ca="1" si="85"/>
        <v/>
      </c>
      <c r="AC429" s="44" t="str">
        <f t="shared" si="87"/>
        <v>SI</v>
      </c>
      <c r="AD429" s="762" t="s">
        <v>1720</v>
      </c>
      <c r="AE429" s="173" t="s">
        <v>1257</v>
      </c>
      <c r="AF429" s="281" t="s">
        <v>2560</v>
      </c>
      <c r="AG429" s="173"/>
      <c r="AH429" s="281"/>
      <c r="AI429" s="305" t="s">
        <v>1381</v>
      </c>
      <c r="AJ429" s="305" t="s">
        <v>600</v>
      </c>
      <c r="AK429" s="181" t="str">
        <f t="shared" ca="1" si="86"/>
        <v>TERMINO</v>
      </c>
      <c r="AL429" s="310" t="s">
        <v>574</v>
      </c>
      <c r="AM429" s="176" t="s">
        <v>390</v>
      </c>
      <c r="AN429" s="872" t="str">
        <f>IFERROR(VLOOKUP(E429,'liquidaciones '!$B$2:$C$1048576,2,0),"NO")</f>
        <v>NO</v>
      </c>
      <c r="AO429" s="972" t="str">
        <f>IFERROR(VLOOKUP(E429,'liquidaciones '!$B$2:$I$1048576,8,0),"")</f>
        <v/>
      </c>
      <c r="AP429" s="339"/>
      <c r="AQ429" s="177" t="s">
        <v>390</v>
      </c>
      <c r="AR429" s="435" t="s">
        <v>3533</v>
      </c>
      <c r="AS429" s="435"/>
      <c r="AT429" s="992"/>
    </row>
    <row r="430" spans="3:46" ht="33.75" customHeight="1" x14ac:dyDescent="0.25">
      <c r="C430" s="439">
        <v>211</v>
      </c>
      <c r="D430" s="439" t="str">
        <f>K430&amp;C430</f>
        <v>2016211</v>
      </c>
      <c r="E430" s="763" t="s">
        <v>2563</v>
      </c>
      <c r="F430" s="280" t="s">
        <v>2564</v>
      </c>
      <c r="G430" s="930" t="s">
        <v>2565</v>
      </c>
      <c r="H430" s="1033" t="s">
        <v>2566</v>
      </c>
      <c r="I430" s="936">
        <v>12928000</v>
      </c>
      <c r="J430" s="715" t="s">
        <v>2567</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8">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2" t="str">
        <f>IFERROR(VLOOKUP(E430,'liquidaciones '!$B$2:$C$1048576,2,0),"NO")</f>
        <v>LIQUIDADO</v>
      </c>
      <c r="AO430" s="972">
        <f>IFERROR(VLOOKUP(E430,'liquidaciones '!$B$2:$I$1048576,8,0),"")</f>
        <v>0</v>
      </c>
      <c r="AP430" s="339"/>
      <c r="AQ430" s="177" t="s">
        <v>390</v>
      </c>
      <c r="AR430" s="435"/>
      <c r="AS430" s="108"/>
      <c r="AT430" s="992"/>
    </row>
    <row r="431" spans="3:46" ht="22.5" x14ac:dyDescent="0.25">
      <c r="C431" s="1041">
        <v>151</v>
      </c>
      <c r="D431" s="439"/>
      <c r="E431" s="763" t="s">
        <v>2568</v>
      </c>
      <c r="F431" s="280" t="s">
        <v>144</v>
      </c>
      <c r="G431" s="930">
        <v>900450570</v>
      </c>
      <c r="H431" s="1033" t="s">
        <v>2569</v>
      </c>
      <c r="I431" s="936">
        <v>230623200</v>
      </c>
      <c r="J431" s="715" t="s">
        <v>2568</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8">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2" t="str">
        <f>IFERROR(VLOOKUP(E431,'liquidaciones '!$B$2:$C$1048576,2,0),"NO")</f>
        <v>NO</v>
      </c>
      <c r="AO431" s="972" t="str">
        <f>IFERROR(VLOOKUP(E431,'liquidaciones '!$B$2:$I$1048576,8,0),"")</f>
        <v>MANUEL ROJAS</v>
      </c>
      <c r="AP431" s="339"/>
      <c r="AQ431" s="177" t="s">
        <v>390</v>
      </c>
      <c r="AR431" s="435" t="s">
        <v>3534</v>
      </c>
      <c r="AS431" s="435"/>
      <c r="AT431" s="992"/>
    </row>
    <row r="432" spans="3:46" ht="66.75" customHeight="1" x14ac:dyDescent="0.25">
      <c r="C432" s="439">
        <v>130</v>
      </c>
      <c r="D432" s="439"/>
      <c r="E432" s="763" t="s">
        <v>2570</v>
      </c>
      <c r="F432" s="280" t="s">
        <v>203</v>
      </c>
      <c r="G432" s="930">
        <v>860049921</v>
      </c>
      <c r="H432" s="1033" t="s">
        <v>2571</v>
      </c>
      <c r="I432" s="936">
        <v>9280000</v>
      </c>
      <c r="J432" s="715" t="s">
        <v>2572</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5" t="s">
        <v>2573</v>
      </c>
      <c r="Y432" s="878">
        <f t="shared" si="82"/>
        <v>1</v>
      </c>
      <c r="Z432" s="42">
        <f t="shared" ca="1" si="83"/>
        <v>1</v>
      </c>
      <c r="AA432" s="43">
        <f t="shared" ca="1" si="84"/>
        <v>0</v>
      </c>
      <c r="AB432" s="202" t="str">
        <f t="shared" ca="1" si="85"/>
        <v/>
      </c>
      <c r="AC432" s="44" t="str">
        <f t="shared" si="87"/>
        <v>SI</v>
      </c>
      <c r="AD432" s="762" t="s">
        <v>2574</v>
      </c>
      <c r="AE432" s="173" t="s">
        <v>1257</v>
      </c>
      <c r="AF432" s="281" t="s">
        <v>1977</v>
      </c>
      <c r="AG432" s="173"/>
      <c r="AH432" s="281" t="s">
        <v>563</v>
      </c>
      <c r="AI432" s="305" t="s">
        <v>1978</v>
      </c>
      <c r="AJ432" s="305" t="s">
        <v>600</v>
      </c>
      <c r="AK432" s="181" t="str">
        <f t="shared" ca="1" si="86"/>
        <v>TERMINO</v>
      </c>
      <c r="AL432" s="310" t="s">
        <v>582</v>
      </c>
      <c r="AM432" s="176" t="s">
        <v>390</v>
      </c>
      <c r="AN432" s="872" t="str">
        <f>IFERROR(VLOOKUP(E432,'liquidaciones '!$B$2:$C$1048576,2,0),"NO")</f>
        <v>LIQUIDADO</v>
      </c>
      <c r="AO432" s="972" t="str">
        <f>IFERROR(VLOOKUP(E432,'liquidaciones '!$B$2:$I$1048576,8,0),"")</f>
        <v>CLAUDIA VANEGAS</v>
      </c>
      <c r="AP432" s="339"/>
      <c r="AQ432" s="177" t="s">
        <v>390</v>
      </c>
      <c r="AR432" s="177" t="s">
        <v>2606</v>
      </c>
      <c r="AS432" s="999"/>
      <c r="AT432" s="992"/>
    </row>
    <row r="433" spans="3:46" ht="56.25" x14ac:dyDescent="0.25">
      <c r="C433" s="439">
        <v>221</v>
      </c>
      <c r="D433" s="439" t="str">
        <f t="shared" ref="D433:D449" si="88">K433&amp;C433</f>
        <v>2016221</v>
      </c>
      <c r="E433" s="763" t="s">
        <v>2575</v>
      </c>
      <c r="F433" s="280" t="s">
        <v>233</v>
      </c>
      <c r="G433" s="930">
        <v>860536079</v>
      </c>
      <c r="H433" s="1033" t="s">
        <v>2576</v>
      </c>
      <c r="I433" s="936">
        <v>2605500</v>
      </c>
      <c r="J433" s="715" t="s">
        <v>2577</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2578</v>
      </c>
      <c r="Y433" s="878">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2" t="str">
        <f>IFERROR(VLOOKUP(E433,'liquidaciones '!$B$2:$C$1048576,2,0),"NO")</f>
        <v>LIQUIDADO</v>
      </c>
      <c r="AO433" s="972" t="str">
        <f>IFERROR(VLOOKUP(E433,'liquidaciones '!$B$2:$I$1048576,8,0),"")</f>
        <v>MANUEL ROJAS</v>
      </c>
      <c r="AP433" s="339"/>
      <c r="AQ433" s="177" t="s">
        <v>390</v>
      </c>
      <c r="AR433" s="177" t="s">
        <v>2608</v>
      </c>
      <c r="AS433" s="435"/>
      <c r="AT433" s="992"/>
    </row>
    <row r="434" spans="3:46" ht="56.25" x14ac:dyDescent="0.25">
      <c r="C434" s="439">
        <v>147</v>
      </c>
      <c r="D434" s="439" t="str">
        <f t="shared" si="88"/>
        <v>2016147</v>
      </c>
      <c r="E434" s="763" t="s">
        <v>2579</v>
      </c>
      <c r="F434" s="280" t="s">
        <v>1997</v>
      </c>
      <c r="G434" s="930">
        <v>860053195</v>
      </c>
      <c r="H434" s="1033" t="s">
        <v>2580</v>
      </c>
      <c r="I434" s="936">
        <v>53583000</v>
      </c>
      <c r="J434" s="715" t="s">
        <v>2581</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8">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2" t="str">
        <f>IFERROR(VLOOKUP(E434,'liquidaciones '!$B$2:$C$1048576,2,0),"NO")</f>
        <v>LIQUIDADO</v>
      </c>
      <c r="AO434" s="972" t="str">
        <f>IFERROR(VLOOKUP(E434,'liquidaciones '!$B$2:$I$1048576,8,0),"")</f>
        <v>MANUEL ROJAS</v>
      </c>
      <c r="AP434" s="339"/>
      <c r="AQ434" s="177" t="s">
        <v>390</v>
      </c>
      <c r="AR434" s="177" t="s">
        <v>2605</v>
      </c>
      <c r="AS434" s="998"/>
      <c r="AT434" s="992"/>
    </row>
    <row r="435" spans="3:46" ht="90" x14ac:dyDescent="0.25">
      <c r="C435" s="439">
        <v>218</v>
      </c>
      <c r="D435" s="439" t="str">
        <f t="shared" si="88"/>
        <v>2016218</v>
      </c>
      <c r="E435" s="763" t="s">
        <v>2582</v>
      </c>
      <c r="F435" s="879" t="s">
        <v>2583</v>
      </c>
      <c r="G435" s="930">
        <v>900987382</v>
      </c>
      <c r="H435" s="1033" t="s">
        <v>3047</v>
      </c>
      <c r="I435" s="936">
        <v>221382000</v>
      </c>
      <c r="J435" s="715" t="s">
        <v>2585</v>
      </c>
      <c r="K435" s="295">
        <v>2016</v>
      </c>
      <c r="L435" s="548">
        <v>42564</v>
      </c>
      <c r="M435" s="882">
        <v>42587</v>
      </c>
      <c r="N435" s="882">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1">
        <f t="shared" si="80"/>
        <v>42952</v>
      </c>
      <c r="U435" s="62">
        <f t="shared" si="81"/>
        <v>241382000</v>
      </c>
      <c r="V435" s="172">
        <f>VLOOKUP(E435,Modificaciones!$B$7:$AU$435,46,0)</f>
        <v>232662768</v>
      </c>
      <c r="W435" s="93">
        <f t="shared" si="77"/>
        <v>8719232</v>
      </c>
      <c r="X435" s="93" t="s">
        <v>2584</v>
      </c>
      <c r="Y435" s="878">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2560</v>
      </c>
      <c r="AG435" s="173"/>
      <c r="AH435" s="281"/>
      <c r="AI435" s="305" t="s">
        <v>1381</v>
      </c>
      <c r="AJ435" s="305" t="s">
        <v>600</v>
      </c>
      <c r="AK435" s="181" t="str">
        <f t="shared" ca="1" si="86"/>
        <v>TERMINO</v>
      </c>
      <c r="AL435" s="310" t="s">
        <v>574</v>
      </c>
      <c r="AM435" s="176" t="s">
        <v>390</v>
      </c>
      <c r="AN435" s="872" t="str">
        <f>IFERROR(VLOOKUP(E435,'liquidaciones '!$B$2:$C$1048576,2,0),"NO")</f>
        <v>LIQUIDADO</v>
      </c>
      <c r="AO435" s="972">
        <f>IFERROR(VLOOKUP(E435,'liquidaciones '!$B$2:$I$1048576,8,0),"")</f>
        <v>0</v>
      </c>
      <c r="AP435" s="339"/>
      <c r="AQ435" s="177" t="s">
        <v>390</v>
      </c>
      <c r="AR435" s="435" t="s">
        <v>3531</v>
      </c>
      <c r="AS435" s="435"/>
      <c r="AT435" s="992"/>
    </row>
    <row r="436" spans="3:46" ht="62.25" customHeight="1" x14ac:dyDescent="0.25">
      <c r="C436" s="439">
        <v>214</v>
      </c>
      <c r="D436" s="439" t="str">
        <f t="shared" si="88"/>
        <v>2016214</v>
      </c>
      <c r="E436" s="880" t="s">
        <v>2586</v>
      </c>
      <c r="F436" s="879" t="s">
        <v>38</v>
      </c>
      <c r="G436" s="930">
        <v>830053669</v>
      </c>
      <c r="H436" s="1033" t="s">
        <v>2587</v>
      </c>
      <c r="I436" s="936">
        <v>26540000</v>
      </c>
      <c r="J436" s="715" t="s">
        <v>2594</v>
      </c>
      <c r="K436" s="295">
        <v>2016</v>
      </c>
      <c r="L436" s="548">
        <v>42580</v>
      </c>
      <c r="M436" s="882">
        <v>42583</v>
      </c>
      <c r="N436" s="882">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1">
        <f t="shared" si="80"/>
        <v>43040</v>
      </c>
      <c r="U436" s="62">
        <f t="shared" si="81"/>
        <v>35640000</v>
      </c>
      <c r="V436" s="172">
        <f>VLOOKUP(E436,Modificaciones!$B$7:$AU$436,46,0)</f>
        <v>34624047</v>
      </c>
      <c r="W436" s="93">
        <f t="shared" si="77"/>
        <v>1015953</v>
      </c>
      <c r="X436" s="309" t="s">
        <v>1966</v>
      </c>
      <c r="Y436" s="878">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2" t="str">
        <f>IFERROR(VLOOKUP(E436,'liquidaciones '!$B$2:$C$1048576,2,0),"NO")</f>
        <v>LIQUIDADO</v>
      </c>
      <c r="AO436" s="972">
        <f>IFERROR(VLOOKUP(E436,'liquidaciones '!$B$2:$I$1048576,8,0),"")</f>
        <v>0</v>
      </c>
      <c r="AP436" s="339"/>
      <c r="AQ436" s="177" t="s">
        <v>390</v>
      </c>
      <c r="AR436" s="435" t="s">
        <v>3069</v>
      </c>
      <c r="AS436" s="435"/>
      <c r="AT436" s="992"/>
    </row>
    <row r="437" spans="3:46" ht="50.25" customHeight="1" x14ac:dyDescent="0.25">
      <c r="C437" s="439">
        <v>230</v>
      </c>
      <c r="D437" s="439" t="str">
        <f t="shared" si="88"/>
        <v>2016230</v>
      </c>
      <c r="E437" s="880" t="s">
        <v>3415</v>
      </c>
      <c r="F437" s="879" t="s">
        <v>2220</v>
      </c>
      <c r="G437" s="930">
        <v>890900267</v>
      </c>
      <c r="H437" s="1033" t="s">
        <v>2222</v>
      </c>
      <c r="I437" s="936">
        <v>6180000</v>
      </c>
      <c r="J437" s="715" t="s">
        <v>2588</v>
      </c>
      <c r="K437" s="295">
        <v>2016</v>
      </c>
      <c r="L437" s="548">
        <v>42570</v>
      </c>
      <c r="M437" s="882">
        <v>42590</v>
      </c>
      <c r="N437" s="882">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1">
        <f t="shared" si="80"/>
        <v>42682</v>
      </c>
      <c r="U437" s="62">
        <f t="shared" si="81"/>
        <v>6180000</v>
      </c>
      <c r="V437" s="172">
        <f>VLOOKUP(E437,Modificaciones!$B$7:$AU$437,46,0)</f>
        <v>4195395</v>
      </c>
      <c r="W437" s="93">
        <f t="shared" si="77"/>
        <v>1984605</v>
      </c>
      <c r="X437" s="309" t="s">
        <v>2223</v>
      </c>
      <c r="Y437" s="878">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2" t="str">
        <f>IFERROR(VLOOKUP(E437,'liquidaciones '!$B$2:$C$1048576,2,0),"NO")</f>
        <v>LIQUIDADO</v>
      </c>
      <c r="AO437" s="972" t="str">
        <f>IFERROR(VLOOKUP(E437,'liquidaciones '!$B$2:$I$1048576,8,0),"")</f>
        <v>JULIETH ANGARITA</v>
      </c>
      <c r="AP437" s="339"/>
      <c r="AQ437" s="177" t="s">
        <v>390</v>
      </c>
      <c r="AR437" s="177" t="s">
        <v>2606</v>
      </c>
      <c r="AS437" s="999"/>
      <c r="AT437" s="992"/>
    </row>
    <row r="438" spans="3:46" ht="67.5" x14ac:dyDescent="0.25">
      <c r="C438" s="439">
        <v>224</v>
      </c>
      <c r="D438" s="439" t="str">
        <f t="shared" si="88"/>
        <v>2016224</v>
      </c>
      <c r="E438" s="880" t="s">
        <v>2589</v>
      </c>
      <c r="F438" s="879" t="s">
        <v>2590</v>
      </c>
      <c r="G438" s="930" t="s">
        <v>2591</v>
      </c>
      <c r="H438" s="1033" t="s">
        <v>3048</v>
      </c>
      <c r="I438" s="936">
        <v>4429000</v>
      </c>
      <c r="J438" s="715" t="s">
        <v>2595</v>
      </c>
      <c r="K438" s="295">
        <v>2016</v>
      </c>
      <c r="L438" s="548">
        <v>42578</v>
      </c>
      <c r="M438" s="882">
        <v>42608</v>
      </c>
      <c r="N438" s="882">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1">
        <f t="shared" si="80"/>
        <v>42700</v>
      </c>
      <c r="U438" s="62">
        <f t="shared" si="81"/>
        <v>4429000</v>
      </c>
      <c r="V438" s="172">
        <f>VLOOKUP(E438,Modificaciones!$B$7:$AU$438,46,0)</f>
        <v>2661244</v>
      </c>
      <c r="W438" s="93">
        <f t="shared" si="77"/>
        <v>1767756</v>
      </c>
      <c r="X438" s="309" t="s">
        <v>2592</v>
      </c>
      <c r="Y438" s="878">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2" t="str">
        <f>IFERROR(VLOOKUP(E438,'liquidaciones '!$B$2:$C$1048576,2,0),"NO")</f>
        <v>LIQUIDADO</v>
      </c>
      <c r="AO438" s="972" t="str">
        <f>IFERROR(VLOOKUP(E438,'liquidaciones '!$B$2:$I$1048576,8,0),"")</f>
        <v>JULIETH ANGARITA</v>
      </c>
      <c r="AP438" s="339"/>
      <c r="AQ438" s="177" t="s">
        <v>390</v>
      </c>
      <c r="AR438" s="177" t="s">
        <v>2605</v>
      </c>
      <c r="AS438" s="435"/>
      <c r="AT438" s="992"/>
    </row>
    <row r="439" spans="3:46" ht="30" x14ac:dyDescent="0.25">
      <c r="C439" s="440">
        <v>229</v>
      </c>
      <c r="D439" s="439" t="str">
        <f t="shared" si="88"/>
        <v>2016229</v>
      </c>
      <c r="E439" s="880" t="s">
        <v>2597</v>
      </c>
      <c r="F439" s="879" t="s">
        <v>2598</v>
      </c>
      <c r="G439" s="930" t="s">
        <v>2599</v>
      </c>
      <c r="H439" s="1033" t="s">
        <v>3049</v>
      </c>
      <c r="I439" s="936">
        <v>20806000</v>
      </c>
      <c r="J439" s="715" t="s">
        <v>2600</v>
      </c>
      <c r="K439" s="295">
        <v>2016</v>
      </c>
      <c r="L439" s="548">
        <v>42585</v>
      </c>
      <c r="M439" s="882">
        <v>42598</v>
      </c>
      <c r="N439" s="882">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1">
        <f t="shared" si="80"/>
        <v>42720</v>
      </c>
      <c r="U439" s="62">
        <f t="shared" si="81"/>
        <v>20806000</v>
      </c>
      <c r="V439" s="172">
        <f>VLOOKUP(E439,Modificaciones!$B$7:$AU$439,46,0)</f>
        <v>17478705</v>
      </c>
      <c r="W439" s="93">
        <f t="shared" si="77"/>
        <v>3327295</v>
      </c>
      <c r="X439" s="309" t="s">
        <v>2200</v>
      </c>
      <c r="Y439" s="878">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2" t="str">
        <f>IFERROR(VLOOKUP(E439,'liquidaciones '!$B$2:$C$1048576,2,0),"NO")</f>
        <v>LIQUIDADO</v>
      </c>
      <c r="AO439" s="972" t="str">
        <f>IFERROR(VLOOKUP(E439,'liquidaciones '!$B$2:$I$1048576,8,0),"")</f>
        <v>MANUEL ROJAS</v>
      </c>
      <c r="AP439" s="339"/>
      <c r="AQ439" s="177" t="s">
        <v>390</v>
      </c>
      <c r="AR439" s="177" t="s">
        <v>2607</v>
      </c>
      <c r="AS439" s="435"/>
      <c r="AT439" s="992"/>
    </row>
    <row r="440" spans="3:46" ht="45" x14ac:dyDescent="0.25">
      <c r="C440" s="439">
        <v>220</v>
      </c>
      <c r="D440" s="439" t="str">
        <f t="shared" si="88"/>
        <v>2016220</v>
      </c>
      <c r="E440" s="880" t="s">
        <v>2601</v>
      </c>
      <c r="F440" s="879" t="s">
        <v>2602</v>
      </c>
      <c r="G440" s="930" t="s">
        <v>2603</v>
      </c>
      <c r="H440" s="1033" t="s">
        <v>3050</v>
      </c>
      <c r="I440" s="936">
        <v>6973000</v>
      </c>
      <c r="J440" s="715" t="s">
        <v>2604</v>
      </c>
      <c r="K440" s="295">
        <v>2016</v>
      </c>
      <c r="L440" s="548">
        <v>42587</v>
      </c>
      <c r="M440" s="882">
        <v>42598</v>
      </c>
      <c r="N440" s="882">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1">
        <f t="shared" si="80"/>
        <v>42932</v>
      </c>
      <c r="U440" s="62">
        <f t="shared" si="81"/>
        <v>6973000</v>
      </c>
      <c r="V440" s="172">
        <f>VLOOKUP(E440,Modificaciones!$B$7:$AU$440,46,0)</f>
        <v>6973000</v>
      </c>
      <c r="W440" s="93">
        <f t="shared" si="77"/>
        <v>0</v>
      </c>
      <c r="X440" s="309" t="s">
        <v>1635</v>
      </c>
      <c r="Y440" s="878">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2" t="str">
        <f>IFERROR(VLOOKUP(E440,'liquidaciones '!$B$2:$C$1048576,2,0),"NO")</f>
        <v>LIQUIDADO</v>
      </c>
      <c r="AO440" s="972">
        <f>IFERROR(VLOOKUP(E440,'liquidaciones '!$B$2:$I$1048576,8,0),"")</f>
        <v>0</v>
      </c>
      <c r="AP440" s="339"/>
      <c r="AQ440" s="177" t="s">
        <v>390</v>
      </c>
      <c r="AR440" s="177" t="s">
        <v>981</v>
      </c>
      <c r="AS440" s="435"/>
      <c r="AT440" s="992"/>
    </row>
    <row r="441" spans="3:46" ht="101.25" customHeight="1" x14ac:dyDescent="0.25">
      <c r="C441" s="440">
        <v>134</v>
      </c>
      <c r="D441" s="439" t="str">
        <f t="shared" si="88"/>
        <v>2016134</v>
      </c>
      <c r="E441" s="880" t="s">
        <v>2610</v>
      </c>
      <c r="F441" s="879" t="s">
        <v>90</v>
      </c>
      <c r="G441" s="930" t="s">
        <v>2611</v>
      </c>
      <c r="H441" s="1033" t="s">
        <v>3051</v>
      </c>
      <c r="I441" s="936">
        <v>1132400</v>
      </c>
      <c r="J441" s="715" t="s">
        <v>2612</v>
      </c>
      <c r="K441" s="295">
        <v>2016</v>
      </c>
      <c r="L441" s="548">
        <v>42591</v>
      </c>
      <c r="M441" s="882">
        <v>42604</v>
      </c>
      <c r="N441" s="882">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1">
        <f t="shared" si="80"/>
        <v>42969</v>
      </c>
      <c r="U441" s="62">
        <f t="shared" si="81"/>
        <v>1132400</v>
      </c>
      <c r="V441" s="172">
        <f>VLOOKUP(E441,Modificaciones!$B$7:$AU$441,46,0)</f>
        <v>1132400</v>
      </c>
      <c r="W441" s="93">
        <f t="shared" si="77"/>
        <v>0</v>
      </c>
      <c r="X441" s="315" t="s">
        <v>1232</v>
      </c>
      <c r="Y441" s="878">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2" t="str">
        <f>IFERROR(VLOOKUP(E441,'liquidaciones '!$B$2:$C$1048576,2,0),"NO")</f>
        <v>LIQUIDADO</v>
      </c>
      <c r="AO441" s="972">
        <f>IFERROR(VLOOKUP(E441,'liquidaciones '!$B$2:$I$1048576,8,0),"")</f>
        <v>0</v>
      </c>
      <c r="AP441" s="339"/>
      <c r="AQ441" s="177" t="s">
        <v>390</v>
      </c>
      <c r="AR441" s="177" t="s">
        <v>2919</v>
      </c>
      <c r="AS441" s="435"/>
      <c r="AT441" s="992"/>
    </row>
    <row r="442" spans="3:46" ht="25.5" customHeight="1" x14ac:dyDescent="0.25">
      <c r="C442" s="440">
        <v>90</v>
      </c>
      <c r="D442" s="439" t="str">
        <f t="shared" si="88"/>
        <v>201690</v>
      </c>
      <c r="E442" s="880" t="s">
        <v>2613</v>
      </c>
      <c r="F442" s="879" t="s">
        <v>2614</v>
      </c>
      <c r="G442" s="930" t="s">
        <v>2615</v>
      </c>
      <c r="H442" s="1033" t="s">
        <v>2616</v>
      </c>
      <c r="I442" s="936">
        <v>12000000</v>
      </c>
      <c r="J442" s="715" t="s">
        <v>2618</v>
      </c>
      <c r="K442" s="295">
        <v>2016</v>
      </c>
      <c r="L442" s="548">
        <v>42578</v>
      </c>
      <c r="M442" s="882">
        <v>42612</v>
      </c>
      <c r="N442" s="882">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1">
        <f t="shared" si="80"/>
        <v>42977</v>
      </c>
      <c r="U442" s="62">
        <f t="shared" si="81"/>
        <v>12000000</v>
      </c>
      <c r="V442" s="172">
        <f>VLOOKUP(E442,Modificaciones!$B$7:$AU$442,46,0)</f>
        <v>12000000</v>
      </c>
      <c r="W442" s="93">
        <f t="shared" ref="W442:W505" si="90">U442-V442</f>
        <v>0</v>
      </c>
      <c r="X442" s="309" t="s">
        <v>2617</v>
      </c>
      <c r="Y442" s="878">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2" t="str">
        <f>IFERROR(VLOOKUP(E442,'liquidaciones '!$B$2:$C$1048576,2,0),"NO")</f>
        <v>LIQUIDADO</v>
      </c>
      <c r="AO442" s="972">
        <f>IFERROR(VLOOKUP(E442,'liquidaciones '!$B$2:$I$1048576,8,0),"")</f>
        <v>0</v>
      </c>
      <c r="AP442" s="339"/>
      <c r="AQ442" s="177" t="s">
        <v>390</v>
      </c>
      <c r="AR442" s="435" t="s">
        <v>3535</v>
      </c>
      <c r="AS442" s="435"/>
      <c r="AT442" s="992"/>
    </row>
    <row r="443" spans="3:46" ht="39" customHeight="1" x14ac:dyDescent="0.25">
      <c r="C443" s="439">
        <v>145</v>
      </c>
      <c r="D443" s="439" t="str">
        <f t="shared" si="88"/>
        <v>2016145</v>
      </c>
      <c r="E443" s="880" t="s">
        <v>2632</v>
      </c>
      <c r="F443" s="879" t="s">
        <v>2633</v>
      </c>
      <c r="G443" s="930">
        <v>900699012</v>
      </c>
      <c r="H443" s="1033" t="s">
        <v>2634</v>
      </c>
      <c r="I443" s="936">
        <v>4999000</v>
      </c>
      <c r="J443" s="715" t="s">
        <v>2635</v>
      </c>
      <c r="K443" s="295">
        <v>2016</v>
      </c>
      <c r="L443" s="548">
        <v>42604</v>
      </c>
      <c r="M443" s="882">
        <v>42622</v>
      </c>
      <c r="N443" s="882">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1">
        <f t="shared" si="80"/>
        <v>42803</v>
      </c>
      <c r="U443" s="62">
        <f t="shared" si="81"/>
        <v>4999000</v>
      </c>
      <c r="V443" s="172">
        <f>VLOOKUP(E443,Modificaciones!$B$7:$AU$443,46,0)</f>
        <v>3270000</v>
      </c>
      <c r="W443" s="93">
        <f t="shared" si="90"/>
        <v>1729000</v>
      </c>
      <c r="X443" s="313" t="s">
        <v>1616</v>
      </c>
      <c r="Y443" s="878">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2" t="str">
        <f>IFERROR(VLOOKUP(E443,'liquidaciones '!$B$2:$C$1048576,2,0),"NO")</f>
        <v>EN TRÁMITE</v>
      </c>
      <c r="AO443" s="972" t="str">
        <f>IFERROR(VLOOKUP(E443,'liquidaciones '!$B$2:$I$1048576,8,0),"")</f>
        <v>MANUEL ROJAS</v>
      </c>
      <c r="AP443" s="339"/>
      <c r="AQ443" s="177" t="s">
        <v>390</v>
      </c>
      <c r="AR443" s="435" t="s">
        <v>2977</v>
      </c>
      <c r="AS443" s="435"/>
      <c r="AT443" s="992"/>
    </row>
    <row r="444" spans="3:46" ht="23.25" customHeight="1" x14ac:dyDescent="0.25">
      <c r="C444" s="439">
        <v>141</v>
      </c>
      <c r="D444" s="439" t="str">
        <f t="shared" si="88"/>
        <v>2016141</v>
      </c>
      <c r="E444" s="880" t="s">
        <v>2636</v>
      </c>
      <c r="F444" s="879" t="s">
        <v>33</v>
      </c>
      <c r="G444" s="930">
        <v>860509265</v>
      </c>
      <c r="H444" s="1033" t="s">
        <v>2637</v>
      </c>
      <c r="I444" s="936">
        <v>825000</v>
      </c>
      <c r="J444" s="715" t="s">
        <v>2636</v>
      </c>
      <c r="K444" s="295">
        <v>2016</v>
      </c>
      <c r="L444" s="548">
        <v>42619</v>
      </c>
      <c r="M444" s="882">
        <v>42646</v>
      </c>
      <c r="N444" s="882">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1">
        <f t="shared" si="80"/>
        <v>43011</v>
      </c>
      <c r="U444" s="62">
        <f t="shared" si="81"/>
        <v>825000</v>
      </c>
      <c r="V444" s="172">
        <f>VLOOKUP(E444,Modificaciones!$B$7:$AU$444,46,0)</f>
        <v>825000</v>
      </c>
      <c r="W444" s="93">
        <f t="shared" si="90"/>
        <v>0</v>
      </c>
      <c r="X444" s="309" t="s">
        <v>2096</v>
      </c>
      <c r="Y444" s="878">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2" t="str">
        <f>IFERROR(VLOOKUP(E444,'liquidaciones '!$B$2:$C$1048576,2,0),"NO")</f>
        <v>EN TRÁMITE</v>
      </c>
      <c r="AO444" s="972">
        <f>IFERROR(VLOOKUP(E444,'liquidaciones '!$B$2:$I$1048576,8,0),"")</f>
        <v>0</v>
      </c>
      <c r="AP444" s="339"/>
      <c r="AQ444" s="177" t="s">
        <v>390</v>
      </c>
      <c r="AR444" s="435" t="s">
        <v>2977</v>
      </c>
      <c r="AS444" s="435"/>
      <c r="AT444" s="992"/>
    </row>
    <row r="445" spans="3:46" ht="57" customHeight="1" x14ac:dyDescent="0.25">
      <c r="C445" s="439"/>
      <c r="D445" s="439" t="str">
        <f t="shared" si="88"/>
        <v>2016</v>
      </c>
      <c r="E445" s="880" t="s">
        <v>2638</v>
      </c>
      <c r="F445" s="879" t="s">
        <v>2639</v>
      </c>
      <c r="G445" s="930">
        <v>85473477</v>
      </c>
      <c r="H445" s="1033" t="s">
        <v>2640</v>
      </c>
      <c r="I445" s="936">
        <v>9000000</v>
      </c>
      <c r="J445" s="715" t="s">
        <v>2638</v>
      </c>
      <c r="K445" s="295">
        <v>2016</v>
      </c>
      <c r="L445" s="548">
        <v>42622</v>
      </c>
      <c r="M445" s="882">
        <v>42625</v>
      </c>
      <c r="N445" s="882">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1">
        <f t="shared" si="80"/>
        <v>42778</v>
      </c>
      <c r="U445" s="62">
        <f t="shared" si="81"/>
        <v>9000000</v>
      </c>
      <c r="V445" s="172">
        <f>VLOOKUP(E445,Modificaciones!$B$7:$AU$445,46,0)</f>
        <v>9000000</v>
      </c>
      <c r="W445" s="93">
        <f t="shared" si="90"/>
        <v>0</v>
      </c>
      <c r="X445" s="93" t="s">
        <v>2617</v>
      </c>
      <c r="Y445" s="878">
        <f t="shared" si="82"/>
        <v>1</v>
      </c>
      <c r="Z445" s="42">
        <f t="shared" ca="1" si="83"/>
        <v>1</v>
      </c>
      <c r="AA445" s="43">
        <f t="shared" ca="1" si="84"/>
        <v>0</v>
      </c>
      <c r="AB445" s="202" t="str">
        <f t="shared" ca="1" si="85"/>
        <v/>
      </c>
      <c r="AC445" s="44" t="str">
        <f t="shared" si="89"/>
        <v>SI</v>
      </c>
      <c r="AD445" s="762" t="s">
        <v>1714</v>
      </c>
      <c r="AE445" s="173" t="s">
        <v>1257</v>
      </c>
      <c r="AF445" s="281" t="s">
        <v>2641</v>
      </c>
      <c r="AG445" s="173" t="s">
        <v>1178</v>
      </c>
      <c r="AH445" s="281" t="s">
        <v>559</v>
      </c>
      <c r="AI445" s="305"/>
      <c r="AJ445" s="305" t="s">
        <v>600</v>
      </c>
      <c r="AK445" s="181" t="str">
        <f t="shared" ca="1" si="86"/>
        <v>TERMINO</v>
      </c>
      <c r="AL445" s="181" t="s">
        <v>582</v>
      </c>
      <c r="AM445" s="176" t="s">
        <v>391</v>
      </c>
      <c r="AN445" s="872" t="str">
        <f>IFERROR(VLOOKUP(E445,'liquidaciones '!$B$2:$C$1048576,2,0),"NO")</f>
        <v>LIQUIDADO</v>
      </c>
      <c r="AO445" s="972" t="str">
        <f>IFERROR(VLOOKUP(E445,'liquidaciones '!$B$2:$I$1048576,8,0),"")</f>
        <v>JAVIER QUINTERO</v>
      </c>
      <c r="AP445" s="339"/>
      <c r="AQ445" s="177" t="s">
        <v>390</v>
      </c>
      <c r="AR445" s="177" t="s">
        <v>2605</v>
      </c>
      <c r="AS445" s="435"/>
      <c r="AT445" s="992"/>
    </row>
    <row r="446" spans="3:46" ht="48" customHeight="1" x14ac:dyDescent="0.25">
      <c r="C446" s="439"/>
      <c r="D446" s="439" t="str">
        <f t="shared" si="88"/>
        <v>2016</v>
      </c>
      <c r="E446" s="892" t="s">
        <v>2642</v>
      </c>
      <c r="F446" s="879" t="s">
        <v>2643</v>
      </c>
      <c r="G446" s="930">
        <v>1090442018</v>
      </c>
      <c r="H446" s="1033" t="s">
        <v>2644</v>
      </c>
      <c r="I446" s="936">
        <v>7500000</v>
      </c>
      <c r="J446" s="715" t="s">
        <v>2642</v>
      </c>
      <c r="K446" s="295">
        <v>2016</v>
      </c>
      <c r="L446" s="548">
        <v>42622</v>
      </c>
      <c r="M446" s="882">
        <v>42625</v>
      </c>
      <c r="N446" s="882">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1">
        <f t="shared" si="80"/>
        <v>42778</v>
      </c>
      <c r="U446" s="62">
        <f t="shared" si="81"/>
        <v>7500000</v>
      </c>
      <c r="V446" s="172">
        <f>VLOOKUP(E446,Modificaciones!$B$7:$AU$446,46,0)</f>
        <v>7500000</v>
      </c>
      <c r="W446" s="93">
        <f t="shared" si="90"/>
        <v>0</v>
      </c>
      <c r="X446" s="309" t="s">
        <v>2617</v>
      </c>
      <c r="Y446" s="878">
        <f t="shared" si="82"/>
        <v>1</v>
      </c>
      <c r="Z446" s="42">
        <f t="shared" ca="1" si="83"/>
        <v>1</v>
      </c>
      <c r="AA446" s="43">
        <f t="shared" ca="1" si="84"/>
        <v>0</v>
      </c>
      <c r="AB446" s="202" t="str">
        <f t="shared" ca="1" si="85"/>
        <v/>
      </c>
      <c r="AC446" s="44" t="str">
        <f t="shared" si="89"/>
        <v>SI</v>
      </c>
      <c r="AD446" s="762" t="s">
        <v>1714</v>
      </c>
      <c r="AE446" s="173" t="s">
        <v>1257</v>
      </c>
      <c r="AF446" s="281" t="s">
        <v>2645</v>
      </c>
      <c r="AG446" s="173" t="s">
        <v>1178</v>
      </c>
      <c r="AH446" s="281" t="s">
        <v>559</v>
      </c>
      <c r="AI446" s="305"/>
      <c r="AJ446" s="305" t="s">
        <v>600</v>
      </c>
      <c r="AK446" s="181" t="str">
        <f t="shared" ca="1" si="86"/>
        <v>TERMINO</v>
      </c>
      <c r="AL446" s="181" t="s">
        <v>582</v>
      </c>
      <c r="AM446" s="176" t="s">
        <v>391</v>
      </c>
      <c r="AN446" s="872" t="str">
        <f>IFERROR(VLOOKUP(E446,'liquidaciones '!$B$2:$C$1048576,2,0),"NO")</f>
        <v>LIQUIDADO</v>
      </c>
      <c r="AO446" s="972" t="str">
        <f>IFERROR(VLOOKUP(E446,'liquidaciones '!$B$2:$I$1048576,8,0),"")</f>
        <v>JAVIER QUINTERO</v>
      </c>
      <c r="AP446" s="339"/>
      <c r="AQ446" s="177" t="s">
        <v>390</v>
      </c>
      <c r="AR446" s="177" t="s">
        <v>2606</v>
      </c>
      <c r="AS446" s="435"/>
      <c r="AT446" s="992"/>
    </row>
    <row r="447" spans="3:46" ht="33.75" x14ac:dyDescent="0.25">
      <c r="C447" s="439">
        <v>86</v>
      </c>
      <c r="D447" s="439" t="str">
        <f t="shared" si="88"/>
        <v>201686</v>
      </c>
      <c r="E447" s="880" t="s">
        <v>2646</v>
      </c>
      <c r="F447" s="879" t="s">
        <v>2099</v>
      </c>
      <c r="G447" s="930">
        <v>830099766</v>
      </c>
      <c r="H447" s="1033" t="s">
        <v>2647</v>
      </c>
      <c r="I447" s="936">
        <v>50871139</v>
      </c>
      <c r="J447" s="715" t="s">
        <v>2649</v>
      </c>
      <c r="K447" s="295">
        <v>2016</v>
      </c>
      <c r="L447" s="548">
        <v>42621</v>
      </c>
      <c r="M447" s="882">
        <v>42632</v>
      </c>
      <c r="N447" s="882">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1">
        <f t="shared" si="80"/>
        <v>42874</v>
      </c>
      <c r="U447" s="62">
        <f t="shared" si="81"/>
        <v>50871139</v>
      </c>
      <c r="V447" s="172">
        <f>VLOOKUP(E447,Modificaciones!$B$7:$AU$447,46,0)</f>
        <v>39661129</v>
      </c>
      <c r="W447" s="93">
        <f t="shared" si="90"/>
        <v>11210010</v>
      </c>
      <c r="X447" s="444" t="s">
        <v>2648</v>
      </c>
      <c r="Y447" s="878">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2102</v>
      </c>
      <c r="AG447" s="173" t="s">
        <v>1440</v>
      </c>
      <c r="AH447" s="281" t="s">
        <v>560</v>
      </c>
      <c r="AI447" s="305" t="s">
        <v>1510</v>
      </c>
      <c r="AJ447" s="305" t="s">
        <v>600</v>
      </c>
      <c r="AK447" s="181" t="str">
        <f t="shared" ca="1" si="86"/>
        <v>TERMINO</v>
      </c>
      <c r="AL447" s="310" t="s">
        <v>582</v>
      </c>
      <c r="AM447" s="176" t="s">
        <v>390</v>
      </c>
      <c r="AN447" s="872" t="str">
        <f>IFERROR(VLOOKUP(E447,'liquidaciones '!$B$2:$C$1048576,2,0),"NO")</f>
        <v>LIQUIDADO</v>
      </c>
      <c r="AO447" s="972" t="str">
        <f>IFERROR(VLOOKUP(E447,'liquidaciones '!$B$2:$I$1048576,8,0),"")</f>
        <v>GIOVANNI SUAREZ</v>
      </c>
      <c r="AP447" s="339"/>
      <c r="AQ447" s="177" t="s">
        <v>390</v>
      </c>
      <c r="AR447" s="177" t="s">
        <v>2919</v>
      </c>
      <c r="AS447" s="435"/>
      <c r="AT447" s="992"/>
    </row>
    <row r="448" spans="3:46" ht="22.5" x14ac:dyDescent="0.25">
      <c r="C448" s="439">
        <v>139</v>
      </c>
      <c r="D448" s="439" t="str">
        <f t="shared" si="88"/>
        <v>2016139</v>
      </c>
      <c r="E448" s="880" t="s">
        <v>2651</v>
      </c>
      <c r="F448" s="879" t="s">
        <v>2652</v>
      </c>
      <c r="G448" s="930">
        <v>860007590</v>
      </c>
      <c r="H448" s="1033" t="s">
        <v>2653</v>
      </c>
      <c r="I448" s="936">
        <v>974160</v>
      </c>
      <c r="J448" s="715" t="s">
        <v>2651</v>
      </c>
      <c r="K448" s="295">
        <v>2016</v>
      </c>
      <c r="L448" s="548">
        <v>42636</v>
      </c>
      <c r="M448" s="882">
        <v>42643</v>
      </c>
      <c r="N448" s="882">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1">
        <f t="shared" ref="T448:T511" si="91">MAX(N448,S448)</f>
        <v>43008</v>
      </c>
      <c r="U448" s="62">
        <f t="shared" si="81"/>
        <v>974160</v>
      </c>
      <c r="V448" s="172">
        <f>VLOOKUP(E448,Modificaciones!$B$7:$AU$448,46,0)</f>
        <v>974160</v>
      </c>
      <c r="W448" s="93">
        <f t="shared" si="90"/>
        <v>0</v>
      </c>
      <c r="X448" s="309" t="s">
        <v>2096</v>
      </c>
      <c r="Y448" s="878">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2" t="str">
        <f>IFERROR(VLOOKUP(E448,'liquidaciones '!$B$2:$C$1048576,2,0),"NO")</f>
        <v>LIQUIDADO</v>
      </c>
      <c r="AO448" s="972">
        <f>IFERROR(VLOOKUP(E448,'liquidaciones '!$B$2:$I$1048576,8,0),"")</f>
        <v>0</v>
      </c>
      <c r="AP448" s="339"/>
      <c r="AQ448" s="177" t="s">
        <v>390</v>
      </c>
      <c r="AR448" s="435" t="s">
        <v>3069</v>
      </c>
      <c r="AS448" s="435"/>
      <c r="AT448" s="992"/>
    </row>
    <row r="449" spans="3:46" ht="45" x14ac:dyDescent="0.25">
      <c r="C449" s="439">
        <v>208</v>
      </c>
      <c r="D449" s="439" t="str">
        <f t="shared" si="88"/>
        <v>2016208</v>
      </c>
      <c r="E449" s="892" t="s">
        <v>2654</v>
      </c>
      <c r="F449" s="879" t="s">
        <v>2655</v>
      </c>
      <c r="G449" s="930">
        <v>830113914</v>
      </c>
      <c r="H449" s="1033" t="s">
        <v>2656</v>
      </c>
      <c r="I449" s="936">
        <v>71482000</v>
      </c>
      <c r="J449" s="715" t="s">
        <v>2657</v>
      </c>
      <c r="K449" s="295">
        <v>2016</v>
      </c>
      <c r="L449" s="548">
        <v>42629</v>
      </c>
      <c r="M449" s="882">
        <v>42646</v>
      </c>
      <c r="N449" s="882">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1">
        <f t="shared" si="91"/>
        <v>42981</v>
      </c>
      <c r="U449" s="62">
        <f t="shared" si="81"/>
        <v>71482000</v>
      </c>
      <c r="V449" s="172">
        <f>VLOOKUP(E449,Modificaciones!$B$7:$AU$449,46,0)</f>
        <v>71481959</v>
      </c>
      <c r="W449" s="93">
        <f t="shared" si="90"/>
        <v>41</v>
      </c>
      <c r="X449" s="309" t="s">
        <v>2009</v>
      </c>
      <c r="Y449" s="878">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2" t="str">
        <f>IFERROR(VLOOKUP(E449,'liquidaciones '!$B$2:$C$1048576,2,0),"NO")</f>
        <v>LIQUIDADO</v>
      </c>
      <c r="AO449" s="972">
        <f>IFERROR(VLOOKUP(E449,'liquidaciones '!$B$2:$I$1048576,8,0),"")</f>
        <v>0</v>
      </c>
      <c r="AP449" s="339"/>
      <c r="AQ449" s="177" t="s">
        <v>390</v>
      </c>
      <c r="AR449" s="177" t="s">
        <v>2977</v>
      </c>
      <c r="AS449" s="435"/>
      <c r="AT449" s="992"/>
    </row>
    <row r="450" spans="3:46" ht="33.75" x14ac:dyDescent="0.25">
      <c r="C450" s="439"/>
      <c r="D450" s="439"/>
      <c r="E450" s="880" t="s">
        <v>2659</v>
      </c>
      <c r="F450" s="879" t="s">
        <v>2660</v>
      </c>
      <c r="G450" s="930">
        <v>74185457</v>
      </c>
      <c r="H450" s="1033" t="s">
        <v>3052</v>
      </c>
      <c r="I450" s="936">
        <v>22000000</v>
      </c>
      <c r="J450" s="715" t="s">
        <v>2659</v>
      </c>
      <c r="K450" s="295">
        <v>2016</v>
      </c>
      <c r="L450" s="548">
        <v>42640</v>
      </c>
      <c r="M450" s="882">
        <v>42642</v>
      </c>
      <c r="N450" s="882">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1">
        <f t="shared" si="91"/>
        <v>42764</v>
      </c>
      <c r="U450" s="62">
        <f t="shared" si="81"/>
        <v>22000000</v>
      </c>
      <c r="V450" s="172">
        <f>VLOOKUP(E450,Modificaciones!$B$7:$AU$450,46,0)</f>
        <v>11366666</v>
      </c>
      <c r="W450" s="93">
        <f t="shared" si="90"/>
        <v>10633334</v>
      </c>
      <c r="X450" s="309" t="s">
        <v>2617</v>
      </c>
      <c r="Y450" s="878">
        <f t="shared" si="82"/>
        <v>0.51666663636363641</v>
      </c>
      <c r="Z450" s="42">
        <f t="shared" ca="1" si="83"/>
        <v>1</v>
      </c>
      <c r="AA450" s="43">
        <f t="shared" ca="1" si="84"/>
        <v>0.48333336363636359</v>
      </c>
      <c r="AB450" s="202" t="str">
        <f t="shared" ca="1" si="85"/>
        <v/>
      </c>
      <c r="AC450" s="44" t="str">
        <f t="shared" si="89"/>
        <v>NO</v>
      </c>
      <c r="AD450" s="762" t="s">
        <v>1714</v>
      </c>
      <c r="AE450" s="173" t="s">
        <v>1258</v>
      </c>
      <c r="AF450" s="173" t="s">
        <v>2176</v>
      </c>
      <c r="AG450" s="173" t="s">
        <v>1178</v>
      </c>
      <c r="AH450" s="281" t="s">
        <v>559</v>
      </c>
      <c r="AI450" s="305"/>
      <c r="AJ450" s="305" t="s">
        <v>600</v>
      </c>
      <c r="AK450" s="181" t="str">
        <f t="shared" ca="1" si="86"/>
        <v>TERMINO</v>
      </c>
      <c r="AL450" s="181" t="s">
        <v>582</v>
      </c>
      <c r="AM450" s="176" t="s">
        <v>391</v>
      </c>
      <c r="AN450" s="872" t="str">
        <f>IFERROR(VLOOKUP(E450,'liquidaciones '!$B$2:$C$1048576,2,0),"NO")</f>
        <v>LIQUIDADO</v>
      </c>
      <c r="AO450" s="972" t="str">
        <f>IFERROR(VLOOKUP(E450,'liquidaciones '!$B$2:$I$1048576,8,0),"")</f>
        <v>JULIETH ANGARITA</v>
      </c>
      <c r="AP450" s="339"/>
      <c r="AQ450" s="177" t="s">
        <v>390</v>
      </c>
      <c r="AR450" s="435" t="s">
        <v>1511</v>
      </c>
      <c r="AS450" s="435"/>
      <c r="AT450" s="992"/>
    </row>
    <row r="451" spans="3:46" ht="78.75" x14ac:dyDescent="0.25">
      <c r="C451" s="439">
        <v>84</v>
      </c>
      <c r="D451" s="439" t="str">
        <f>K451&amp;C451</f>
        <v>201684</v>
      </c>
      <c r="E451" s="880" t="s">
        <v>2661</v>
      </c>
      <c r="F451" s="879" t="s">
        <v>2129</v>
      </c>
      <c r="G451" s="930">
        <v>830083523</v>
      </c>
      <c r="H451" s="1033" t="s">
        <v>2662</v>
      </c>
      <c r="I451" s="936">
        <v>8000000</v>
      </c>
      <c r="J451" s="715" t="s">
        <v>2661</v>
      </c>
      <c r="K451" s="295">
        <v>2016</v>
      </c>
      <c r="L451" s="548">
        <v>42636</v>
      </c>
      <c r="M451" s="882">
        <v>42648</v>
      </c>
      <c r="N451" s="882">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1">
        <f t="shared" si="91"/>
        <v>42891</v>
      </c>
      <c r="U451" s="62">
        <f t="shared" si="81"/>
        <v>8000000</v>
      </c>
      <c r="V451" s="172">
        <f>VLOOKUP(E451,Modificaciones!$B$7:$AU$451,46,0)</f>
        <v>8000000</v>
      </c>
      <c r="W451" s="93">
        <f t="shared" si="90"/>
        <v>0</v>
      </c>
      <c r="X451" s="444" t="s">
        <v>2663</v>
      </c>
      <c r="Y451" s="878">
        <f t="shared" si="82"/>
        <v>1</v>
      </c>
      <c r="Z451" s="42">
        <f t="shared" ca="1" si="83"/>
        <v>1</v>
      </c>
      <c r="AA451" s="43">
        <f t="shared" ca="1" si="84"/>
        <v>0</v>
      </c>
      <c r="AB451" s="202" t="str">
        <f t="shared" ca="1" si="85"/>
        <v/>
      </c>
      <c r="AC451" s="44" t="str">
        <f t="shared" si="89"/>
        <v>SI</v>
      </c>
      <c r="AD451" s="762"/>
      <c r="AE451" s="173" t="s">
        <v>1258</v>
      </c>
      <c r="AF451" s="281" t="s">
        <v>2113</v>
      </c>
      <c r="AG451" s="173" t="s">
        <v>1440</v>
      </c>
      <c r="AH451" s="281" t="s">
        <v>560</v>
      </c>
      <c r="AI451" s="305" t="s">
        <v>1510</v>
      </c>
      <c r="AJ451" s="305" t="s">
        <v>600</v>
      </c>
      <c r="AK451" s="181" t="str">
        <f t="shared" ca="1" si="86"/>
        <v>TERMINO</v>
      </c>
      <c r="AL451" s="310" t="s">
        <v>582</v>
      </c>
      <c r="AM451" s="176" t="s">
        <v>390</v>
      </c>
      <c r="AN451" s="872" t="str">
        <f>IFERROR(VLOOKUP(E451,'liquidaciones '!$B$2:$C$1048576,2,0),"NO")</f>
        <v>LIQUIDADO</v>
      </c>
      <c r="AO451" s="972" t="str">
        <f>IFERROR(VLOOKUP(E451,'liquidaciones '!$B$2:$I$1048576,8,0),"")</f>
        <v>GIOVANNI SUAREZ</v>
      </c>
      <c r="AP451" s="339"/>
      <c r="AQ451" s="177" t="s">
        <v>390</v>
      </c>
      <c r="AR451" s="177" t="s">
        <v>2919</v>
      </c>
      <c r="AS451" s="435"/>
      <c r="AT451" s="992"/>
    </row>
    <row r="452" spans="3:46" ht="33.75" customHeight="1" x14ac:dyDescent="0.25">
      <c r="C452" s="439">
        <v>199</v>
      </c>
      <c r="D452" s="439" t="str">
        <f>K452&amp;C452</f>
        <v>2016199</v>
      </c>
      <c r="E452" s="880" t="s">
        <v>2664</v>
      </c>
      <c r="F452" s="879" t="s">
        <v>2671</v>
      </c>
      <c r="G452" s="930" t="s">
        <v>2665</v>
      </c>
      <c r="H452" s="1033" t="s">
        <v>2666</v>
      </c>
      <c r="I452" s="936">
        <v>669493245</v>
      </c>
      <c r="J452" s="715" t="s">
        <v>2667</v>
      </c>
      <c r="K452" s="295">
        <v>2016</v>
      </c>
      <c r="L452" s="548">
        <v>42632</v>
      </c>
      <c r="M452" s="882">
        <v>42647</v>
      </c>
      <c r="N452" s="882">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1">
        <f t="shared" si="91"/>
        <v>42931</v>
      </c>
      <c r="U452" s="62">
        <f t="shared" si="81"/>
        <v>788860290</v>
      </c>
      <c r="V452" s="172">
        <f>VLOOKUP(E452,Modificaciones!$B$7:$AU$452,46,0)</f>
        <v>721574980</v>
      </c>
      <c r="W452" s="93">
        <f t="shared" si="90"/>
        <v>67285310</v>
      </c>
      <c r="X452" s="309" t="s">
        <v>2668</v>
      </c>
      <c r="Y452" s="878">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2" t="str">
        <f>IFERROR(VLOOKUP(E452,'liquidaciones '!$B$2:$C$1048576,2,0),"NO")</f>
        <v>LIQUIDADO</v>
      </c>
      <c r="AO452" s="972">
        <f>IFERROR(VLOOKUP(E452,'liquidaciones '!$B$2:$I$1048576,8,0),"")</f>
        <v>0</v>
      </c>
      <c r="AP452" s="339"/>
      <c r="AQ452" s="177" t="s">
        <v>390</v>
      </c>
      <c r="AR452" s="435" t="s">
        <v>1511</v>
      </c>
      <c r="AS452" s="435"/>
      <c r="AT452" s="992"/>
    </row>
    <row r="453" spans="3:46" ht="33.75" x14ac:dyDescent="0.25">
      <c r="C453" s="439">
        <v>140</v>
      </c>
      <c r="D453" s="439" t="str">
        <f>K453&amp;C453</f>
        <v>2016140</v>
      </c>
      <c r="E453" s="880" t="s">
        <v>2669</v>
      </c>
      <c r="F453" s="879" t="s">
        <v>2150</v>
      </c>
      <c r="G453" s="930">
        <v>860536029</v>
      </c>
      <c r="H453" s="1033" t="s">
        <v>2670</v>
      </c>
      <c r="I453" s="936">
        <v>930000</v>
      </c>
      <c r="J453" s="715" t="s">
        <v>2669</v>
      </c>
      <c r="K453" s="295">
        <v>2016</v>
      </c>
      <c r="L453" s="548">
        <v>42640</v>
      </c>
      <c r="M453" s="882">
        <v>42647</v>
      </c>
      <c r="N453" s="882">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1">
        <f t="shared" si="91"/>
        <v>43012</v>
      </c>
      <c r="U453" s="62">
        <f t="shared" si="81"/>
        <v>930000</v>
      </c>
      <c r="V453" s="172">
        <f>VLOOKUP(E453,Modificaciones!$B$7:$AU$453,46,0)</f>
        <v>930000</v>
      </c>
      <c r="W453" s="93">
        <f t="shared" si="90"/>
        <v>0</v>
      </c>
      <c r="X453" s="309" t="s">
        <v>2096</v>
      </c>
      <c r="Y453" s="878">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2" t="str">
        <f>IFERROR(VLOOKUP(E453,'liquidaciones '!$B$2:$C$1048576,2,0),"NO")</f>
        <v>LIQUIDADO</v>
      </c>
      <c r="AO453" s="972">
        <f>IFERROR(VLOOKUP(E453,'liquidaciones '!$B$2:$I$1048576,8,0),"")</f>
        <v>0</v>
      </c>
      <c r="AP453" s="339"/>
      <c r="AQ453" s="177" t="s">
        <v>390</v>
      </c>
      <c r="AR453" s="435" t="s">
        <v>1511</v>
      </c>
      <c r="AS453" s="435"/>
      <c r="AT453" s="992"/>
    </row>
    <row r="454" spans="3:46" ht="48" customHeight="1" x14ac:dyDescent="0.25">
      <c r="C454" s="439"/>
      <c r="D454" s="439" t="str">
        <f>K454&amp;C454</f>
        <v>2016</v>
      </c>
      <c r="E454" s="880" t="s">
        <v>2678</v>
      </c>
      <c r="F454" s="879" t="s">
        <v>2681</v>
      </c>
      <c r="G454" s="930">
        <v>52505397</v>
      </c>
      <c r="H454" s="1033" t="s">
        <v>2679</v>
      </c>
      <c r="I454" s="936">
        <v>4800000</v>
      </c>
      <c r="J454" s="715" t="s">
        <v>2678</v>
      </c>
      <c r="K454" s="295">
        <v>2016</v>
      </c>
      <c r="L454" s="548">
        <v>42639</v>
      </c>
      <c r="M454" s="882">
        <v>42646</v>
      </c>
      <c r="N454" s="882">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1">
        <f t="shared" si="91"/>
        <v>42769</v>
      </c>
      <c r="U454" s="62">
        <f t="shared" si="81"/>
        <v>4800000</v>
      </c>
      <c r="V454" s="172">
        <f>VLOOKUP(E454,Modificaciones!$B$7:$AU$454,46,0)</f>
        <v>4640000</v>
      </c>
      <c r="W454" s="93">
        <f t="shared" si="90"/>
        <v>160000</v>
      </c>
      <c r="X454" s="309" t="s">
        <v>2617</v>
      </c>
      <c r="Y454" s="878">
        <f t="shared" si="82"/>
        <v>0.96666666666666667</v>
      </c>
      <c r="Z454" s="42">
        <f t="shared" ca="1" si="83"/>
        <v>1</v>
      </c>
      <c r="AA454" s="43">
        <f t="shared" ca="1" si="84"/>
        <v>3.3333333333333326E-2</v>
      </c>
      <c r="AB454" s="202" t="str">
        <f t="shared" ca="1" si="85"/>
        <v/>
      </c>
      <c r="AC454" s="44" t="str">
        <f t="shared" si="89"/>
        <v>NO</v>
      </c>
      <c r="AD454" s="762" t="s">
        <v>1714</v>
      </c>
      <c r="AE454" s="173" t="s">
        <v>1257</v>
      </c>
      <c r="AF454" s="281" t="s">
        <v>2680</v>
      </c>
      <c r="AG454" s="173" t="s">
        <v>1178</v>
      </c>
      <c r="AH454" s="281" t="s">
        <v>559</v>
      </c>
      <c r="AI454" s="305"/>
      <c r="AJ454" s="305" t="s">
        <v>600</v>
      </c>
      <c r="AK454" s="181" t="str">
        <f t="shared" ca="1" si="86"/>
        <v>TERMINO</v>
      </c>
      <c r="AL454" s="181" t="s">
        <v>582</v>
      </c>
      <c r="AM454" s="176" t="s">
        <v>391</v>
      </c>
      <c r="AN454" s="872" t="str">
        <f>IFERROR(VLOOKUP(E454,'liquidaciones '!$B$2:$C$1048576,2,0),"NO")</f>
        <v>LIQUIDADO</v>
      </c>
      <c r="AO454" s="972" t="str">
        <f>IFERROR(VLOOKUP(E454,'liquidaciones '!$B$2:$I$1048576,8,0),"")</f>
        <v>MANUEL ROJAS</v>
      </c>
      <c r="AP454" s="339"/>
      <c r="AQ454" s="177" t="s">
        <v>390</v>
      </c>
      <c r="AR454" s="177" t="s">
        <v>2606</v>
      </c>
      <c r="AS454" s="435"/>
      <c r="AT454" s="992"/>
    </row>
    <row r="455" spans="3:46" ht="33.75" x14ac:dyDescent="0.25">
      <c r="C455" s="439"/>
      <c r="D455" s="439"/>
      <c r="E455" s="890" t="s">
        <v>2682</v>
      </c>
      <c r="F455" s="879" t="s">
        <v>2683</v>
      </c>
      <c r="G455" s="931">
        <v>1030642892</v>
      </c>
      <c r="H455" s="1034" t="s">
        <v>2684</v>
      </c>
      <c r="I455" s="936">
        <v>4800000</v>
      </c>
      <c r="J455" s="715" t="s">
        <v>2682</v>
      </c>
      <c r="K455" s="295">
        <v>2016</v>
      </c>
      <c r="L455" s="548">
        <v>42643</v>
      </c>
      <c r="M455" s="882">
        <v>42646</v>
      </c>
      <c r="N455" s="882">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1">
        <f t="shared" si="91"/>
        <v>42769</v>
      </c>
      <c r="U455" s="62">
        <f t="shared" ref="U455:U518" si="92">I455+P455</f>
        <v>4800000</v>
      </c>
      <c r="V455" s="172">
        <f>VLOOKUP(E455,Modificaciones!$B$7:$AU$455,46,0)</f>
        <v>4800000</v>
      </c>
      <c r="W455" s="93">
        <f t="shared" si="90"/>
        <v>0</v>
      </c>
      <c r="X455" s="309" t="s">
        <v>1095</v>
      </c>
      <c r="Y455" s="878">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1714</v>
      </c>
      <c r="AE455" s="173" t="s">
        <v>1257</v>
      </c>
      <c r="AF455" s="281" t="s">
        <v>2685</v>
      </c>
      <c r="AG455" s="173"/>
      <c r="AH455" s="281" t="s">
        <v>562</v>
      </c>
      <c r="AI455" s="305"/>
      <c r="AJ455" s="305" t="s">
        <v>600</v>
      </c>
      <c r="AK455" s="181" t="str">
        <f t="shared" ref="AK455:AK518" ca="1" si="97">IF(T455&gt;=$F$3,"EN EJECUCIÓN","TERMINO")</f>
        <v>TERMINO</v>
      </c>
      <c r="AL455" s="181" t="s">
        <v>582</v>
      </c>
      <c r="AM455" s="176" t="s">
        <v>391</v>
      </c>
      <c r="AN455" s="872" t="str">
        <f>IFERROR(VLOOKUP(E455,'liquidaciones '!$B$2:$C$1048576,2,0),"NO")</f>
        <v>LIQUIDADO</v>
      </c>
      <c r="AO455" s="972" t="str">
        <f>IFERROR(VLOOKUP(E455,'liquidaciones '!$B$2:$I$1048576,8,0),"")</f>
        <v>EDWARD MORENO</v>
      </c>
      <c r="AP455" s="339"/>
      <c r="AQ455" s="177" t="s">
        <v>390</v>
      </c>
      <c r="AR455" s="177" t="s">
        <v>1511</v>
      </c>
      <c r="AS455" s="435"/>
      <c r="AT455" s="992"/>
    </row>
    <row r="456" spans="3:46" ht="45" x14ac:dyDescent="0.25">
      <c r="C456" s="439">
        <v>222</v>
      </c>
      <c r="D456" s="439"/>
      <c r="E456" s="880" t="s">
        <v>2687</v>
      </c>
      <c r="F456" s="879" t="s">
        <v>2688</v>
      </c>
      <c r="G456" s="930" t="s">
        <v>2689</v>
      </c>
      <c r="H456" s="1033" t="s">
        <v>2707</v>
      </c>
      <c r="I456" s="936">
        <v>5150000</v>
      </c>
      <c r="J456" s="715" t="s">
        <v>2690</v>
      </c>
      <c r="K456" s="295">
        <v>2016</v>
      </c>
      <c r="L456" s="548">
        <v>42634</v>
      </c>
      <c r="M456" s="882">
        <v>42649</v>
      </c>
      <c r="N456" s="882">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1">
        <f t="shared" si="91"/>
        <v>42831</v>
      </c>
      <c r="U456" s="62">
        <f t="shared" si="92"/>
        <v>5150000</v>
      </c>
      <c r="V456" s="172">
        <f>VLOOKUP(E456,Modificaciones!$B$7:$AU$456,46,0)</f>
        <v>0</v>
      </c>
      <c r="W456" s="93">
        <f t="shared" si="90"/>
        <v>5150000</v>
      </c>
      <c r="X456" s="309" t="s">
        <v>2160</v>
      </c>
      <c r="Y456" s="878">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2" t="str">
        <f>IFERROR(VLOOKUP(E456,'liquidaciones '!$B$2:$C$1048576,2,0),"NO")</f>
        <v>EN TRÁMITE</v>
      </c>
      <c r="AO456" s="972" t="str">
        <f>IFERROR(VLOOKUP(E456,'liquidaciones '!$B$2:$I$1048576,8,0),"")</f>
        <v>JULIETH ANGARITA</v>
      </c>
      <c r="AP456" s="339"/>
      <c r="AQ456" s="177" t="s">
        <v>390</v>
      </c>
      <c r="AR456" s="177" t="s">
        <v>2977</v>
      </c>
      <c r="AS456" s="435"/>
      <c r="AT456" s="992"/>
    </row>
    <row r="457" spans="3:46" ht="22.5" x14ac:dyDescent="0.25">
      <c r="C457" s="439">
        <v>138</v>
      </c>
      <c r="D457" s="439" t="str">
        <f>K457&amp;C457</f>
        <v>2016138</v>
      </c>
      <c r="E457" s="880" t="s">
        <v>2691</v>
      </c>
      <c r="F457" s="879" t="s">
        <v>2225</v>
      </c>
      <c r="G457" s="930">
        <v>860009759</v>
      </c>
      <c r="H457" s="1033" t="s">
        <v>2226</v>
      </c>
      <c r="I457" s="936">
        <v>817587</v>
      </c>
      <c r="J457" s="715" t="s">
        <v>2691</v>
      </c>
      <c r="K457" s="295">
        <v>2016</v>
      </c>
      <c r="L457" s="548">
        <v>42643</v>
      </c>
      <c r="M457" s="882">
        <v>42703</v>
      </c>
      <c r="N457" s="882">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1">
        <f t="shared" si="91"/>
        <v>43068</v>
      </c>
      <c r="U457" s="62">
        <f t="shared" si="92"/>
        <v>817587</v>
      </c>
      <c r="V457" s="172">
        <f>VLOOKUP(E457,Modificaciones!$B$7:$AU$458,46,0)</f>
        <v>817587</v>
      </c>
      <c r="W457" s="93">
        <f t="shared" si="90"/>
        <v>0</v>
      </c>
      <c r="X457" s="309" t="s">
        <v>2118</v>
      </c>
      <c r="Y457" s="878">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2" t="str">
        <f>IFERROR(VLOOKUP(E457,'liquidaciones '!$B$2:$C$1048576,2,0),"NO")</f>
        <v>LIQUIDADO</v>
      </c>
      <c r="AO457" s="972">
        <f>IFERROR(VLOOKUP(E457,'liquidaciones '!$B$2:$I$1048576,8,0),"")</f>
        <v>0</v>
      </c>
      <c r="AP457" s="339"/>
      <c r="AQ457" s="177" t="s">
        <v>390</v>
      </c>
      <c r="AR457" s="177" t="s">
        <v>2977</v>
      </c>
      <c r="AS457" s="435"/>
      <c r="AT457" s="992"/>
    </row>
    <row r="458" spans="3:46" ht="45" x14ac:dyDescent="0.25">
      <c r="C458" s="439"/>
      <c r="D458" s="439" t="str">
        <f>K458&amp;C458</f>
        <v>2016</v>
      </c>
      <c r="E458" s="880" t="s">
        <v>2694</v>
      </c>
      <c r="F458" s="879" t="s">
        <v>2697</v>
      </c>
      <c r="G458" s="930">
        <v>51908487</v>
      </c>
      <c r="H458" s="1033" t="s">
        <v>2695</v>
      </c>
      <c r="I458" s="936">
        <v>22000000</v>
      </c>
      <c r="J458" s="715" t="s">
        <v>2694</v>
      </c>
      <c r="K458" s="295">
        <v>2016</v>
      </c>
      <c r="L458" s="548">
        <v>42643</v>
      </c>
      <c r="M458" s="882">
        <v>42646</v>
      </c>
      <c r="N458" s="882">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1">
        <f t="shared" si="91"/>
        <v>42769</v>
      </c>
      <c r="U458" s="62">
        <f t="shared" si="92"/>
        <v>22000000</v>
      </c>
      <c r="V458" s="172">
        <f>VLOOKUP(E458,Modificaciones!$B$7:$AU$458,46,0)</f>
        <v>22000000</v>
      </c>
      <c r="W458" s="93">
        <f t="shared" si="90"/>
        <v>0</v>
      </c>
      <c r="X458" s="309" t="s">
        <v>1095</v>
      </c>
      <c r="Y458" s="878">
        <f t="shared" si="93"/>
        <v>1</v>
      </c>
      <c r="Z458" s="42">
        <f t="shared" ca="1" si="94"/>
        <v>1</v>
      </c>
      <c r="AA458" s="43">
        <f t="shared" ca="1" si="95"/>
        <v>0</v>
      </c>
      <c r="AB458" s="202" t="str">
        <f t="shared" ca="1" si="96"/>
        <v/>
      </c>
      <c r="AC458" s="44" t="str">
        <f t="shared" si="89"/>
        <v>SI</v>
      </c>
      <c r="AD458" s="762" t="s">
        <v>1714</v>
      </c>
      <c r="AE458" s="173" t="s">
        <v>1257</v>
      </c>
      <c r="AF458" s="173" t="s">
        <v>2178</v>
      </c>
      <c r="AG458" s="173" t="s">
        <v>1178</v>
      </c>
      <c r="AH458" s="281" t="s">
        <v>559</v>
      </c>
      <c r="AI458" s="174"/>
      <c r="AJ458" s="305" t="s">
        <v>600</v>
      </c>
      <c r="AK458" s="181" t="str">
        <f t="shared" ca="1" si="97"/>
        <v>TERMINO</v>
      </c>
      <c r="AL458" s="181" t="s">
        <v>582</v>
      </c>
      <c r="AM458" s="176" t="s">
        <v>391</v>
      </c>
      <c r="AN458" s="872" t="str">
        <f>IFERROR(VLOOKUP(E458,'liquidaciones '!$B$2:$C$1048576,2,0),"NO")</f>
        <v>LIQUIDADO</v>
      </c>
      <c r="AO458" s="972" t="str">
        <f>IFERROR(VLOOKUP(E458,'liquidaciones '!$B$2:$I$1048576,8,0),"")</f>
        <v>ANDREA CASAS</v>
      </c>
      <c r="AP458" s="339"/>
      <c r="AQ458" s="177" t="s">
        <v>390</v>
      </c>
      <c r="AR458" s="177" t="s">
        <v>981</v>
      </c>
      <c r="AS458" s="435"/>
      <c r="AT458" s="992"/>
    </row>
    <row r="459" spans="3:46" ht="45" x14ac:dyDescent="0.25">
      <c r="C459" s="439"/>
      <c r="D459" s="439"/>
      <c r="E459" s="880" t="s">
        <v>2696</v>
      </c>
      <c r="F459" s="879" t="s">
        <v>2698</v>
      </c>
      <c r="G459" s="930">
        <v>79615371</v>
      </c>
      <c r="H459" s="1033" t="s">
        <v>2695</v>
      </c>
      <c r="I459" s="936">
        <v>22000000</v>
      </c>
      <c r="J459" s="715" t="s">
        <v>2696</v>
      </c>
      <c r="K459" s="295">
        <v>2016</v>
      </c>
      <c r="L459" s="548">
        <v>42642</v>
      </c>
      <c r="M459" s="882">
        <v>42646</v>
      </c>
      <c r="N459" s="882">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1">
        <f t="shared" si="91"/>
        <v>42769</v>
      </c>
      <c r="U459" s="62">
        <f t="shared" si="92"/>
        <v>22000000</v>
      </c>
      <c r="V459" s="172">
        <f>VLOOKUP(E459,Modificaciones!$B$7:$AU$459,46,0)</f>
        <v>22000000</v>
      </c>
      <c r="W459" s="93">
        <f t="shared" si="90"/>
        <v>0</v>
      </c>
      <c r="X459" s="309" t="s">
        <v>1095</v>
      </c>
      <c r="Y459" s="878">
        <f t="shared" si="93"/>
        <v>1</v>
      </c>
      <c r="Z459" s="42">
        <f t="shared" ca="1" si="94"/>
        <v>1</v>
      </c>
      <c r="AA459" s="43">
        <f t="shared" ca="1" si="95"/>
        <v>0</v>
      </c>
      <c r="AB459" s="202" t="str">
        <f t="shared" ca="1" si="96"/>
        <v/>
      </c>
      <c r="AC459" s="44" t="str">
        <f t="shared" si="89"/>
        <v>SI</v>
      </c>
      <c r="AD459" s="762" t="s">
        <v>1714</v>
      </c>
      <c r="AE459" s="173" t="s">
        <v>1257</v>
      </c>
      <c r="AF459" s="173" t="s">
        <v>2178</v>
      </c>
      <c r="AG459" s="173" t="s">
        <v>1178</v>
      </c>
      <c r="AH459" s="281" t="s">
        <v>559</v>
      </c>
      <c r="AI459" s="174"/>
      <c r="AJ459" s="305" t="s">
        <v>600</v>
      </c>
      <c r="AK459" s="181" t="str">
        <f t="shared" ca="1" si="97"/>
        <v>TERMINO</v>
      </c>
      <c r="AL459" s="181" t="s">
        <v>582</v>
      </c>
      <c r="AM459" s="176" t="s">
        <v>391</v>
      </c>
      <c r="AN459" s="872" t="str">
        <f>IFERROR(VLOOKUP(E459,'liquidaciones '!$B$2:$C$1048576,2,0),"NO")</f>
        <v>LIQUIDADO</v>
      </c>
      <c r="AO459" s="972" t="str">
        <f>IFERROR(VLOOKUP(E459,'liquidaciones '!$B$2:$I$1048576,8,0),"")</f>
        <v>ANDREA CASAS</v>
      </c>
      <c r="AP459" s="339"/>
      <c r="AQ459" s="177" t="s">
        <v>390</v>
      </c>
      <c r="AR459" s="177" t="s">
        <v>981</v>
      </c>
      <c r="AS459" s="435"/>
      <c r="AT459" s="992"/>
    </row>
    <row r="460" spans="3:46" ht="45" x14ac:dyDescent="0.25">
      <c r="C460" s="439"/>
      <c r="D460" s="439" t="str">
        <f t="shared" ref="D460:D485" si="98">K460&amp;C460</f>
        <v>2016</v>
      </c>
      <c r="E460" s="892" t="s">
        <v>2699</v>
      </c>
      <c r="F460" s="890" t="s">
        <v>2700</v>
      </c>
      <c r="G460" s="931">
        <v>51976235</v>
      </c>
      <c r="H460" s="1033" t="s">
        <v>2695</v>
      </c>
      <c r="I460" s="936">
        <v>22000000</v>
      </c>
      <c r="J460" s="889" t="s">
        <v>2699</v>
      </c>
      <c r="K460" s="295">
        <v>2016</v>
      </c>
      <c r="L460" s="548">
        <v>42642</v>
      </c>
      <c r="M460" s="891">
        <v>42646</v>
      </c>
      <c r="N460" s="891">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1">
        <f t="shared" si="91"/>
        <v>42769</v>
      </c>
      <c r="U460" s="62">
        <f t="shared" si="92"/>
        <v>22000000</v>
      </c>
      <c r="V460" s="172">
        <f>VLOOKUP(E460,Modificaciones!$B$7:$AU$460,46,0)</f>
        <v>22000000</v>
      </c>
      <c r="W460" s="93">
        <f t="shared" si="90"/>
        <v>0</v>
      </c>
      <c r="X460" s="309" t="s">
        <v>1095</v>
      </c>
      <c r="Y460" s="878">
        <f t="shared" si="93"/>
        <v>1</v>
      </c>
      <c r="Z460" s="42">
        <f t="shared" ca="1" si="94"/>
        <v>1</v>
      </c>
      <c r="AA460" s="43">
        <f t="shared" ca="1" si="95"/>
        <v>0</v>
      </c>
      <c r="AB460" s="202" t="str">
        <f t="shared" ca="1" si="96"/>
        <v/>
      </c>
      <c r="AC460" s="44" t="str">
        <f t="shared" si="89"/>
        <v>SI</v>
      </c>
      <c r="AD460" s="762" t="s">
        <v>1714</v>
      </c>
      <c r="AE460" s="173" t="s">
        <v>1257</v>
      </c>
      <c r="AF460" s="173" t="s">
        <v>2178</v>
      </c>
      <c r="AG460" s="173" t="s">
        <v>1178</v>
      </c>
      <c r="AH460" s="281" t="s">
        <v>559</v>
      </c>
      <c r="AI460" s="174"/>
      <c r="AJ460" s="305" t="s">
        <v>600</v>
      </c>
      <c r="AK460" s="181" t="str">
        <f t="shared" ca="1" si="97"/>
        <v>TERMINO</v>
      </c>
      <c r="AL460" s="181" t="s">
        <v>582</v>
      </c>
      <c r="AM460" s="176" t="s">
        <v>391</v>
      </c>
      <c r="AN460" s="872" t="str">
        <f>IFERROR(VLOOKUP(E460,'liquidaciones '!$B$2:$C$1048576,2,0),"NO")</f>
        <v>LIQUIDADO</v>
      </c>
      <c r="AO460" s="972" t="str">
        <f>IFERROR(VLOOKUP(E460,'liquidaciones '!$B$2:$I$1048576,8,0),"")</f>
        <v>ANDREA CASAS</v>
      </c>
      <c r="AP460" s="339"/>
      <c r="AQ460" s="177" t="s">
        <v>390</v>
      </c>
      <c r="AR460" s="177" t="s">
        <v>981</v>
      </c>
      <c r="AS460" s="435"/>
      <c r="AT460" s="992"/>
    </row>
    <row r="461" spans="3:46" ht="56.25" x14ac:dyDescent="0.25">
      <c r="C461" s="439">
        <v>201</v>
      </c>
      <c r="D461" s="439" t="str">
        <f t="shared" si="98"/>
        <v>2016201</v>
      </c>
      <c r="E461" s="880" t="s">
        <v>2701</v>
      </c>
      <c r="F461" s="879" t="s">
        <v>1865</v>
      </c>
      <c r="G461" s="930">
        <v>830124848</v>
      </c>
      <c r="H461" s="1033" t="s">
        <v>3053</v>
      </c>
      <c r="I461" s="936">
        <v>17275885</v>
      </c>
      <c r="J461" s="715" t="s">
        <v>2702</v>
      </c>
      <c r="K461" s="295">
        <v>2016</v>
      </c>
      <c r="L461" s="548">
        <v>42647</v>
      </c>
      <c r="M461" s="882">
        <v>42664</v>
      </c>
      <c r="N461" s="882">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1">
        <f t="shared" si="91"/>
        <v>42880</v>
      </c>
      <c r="U461" s="62">
        <f t="shared" si="92"/>
        <v>25913885</v>
      </c>
      <c r="V461" s="172">
        <f>VLOOKUP(E461,Modificaciones!$B$7:$AU$461,46,0)</f>
        <v>25913856</v>
      </c>
      <c r="W461" s="93">
        <f t="shared" si="90"/>
        <v>29</v>
      </c>
      <c r="X461" s="309" t="s">
        <v>1867</v>
      </c>
      <c r="Y461" s="878">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2" t="str">
        <f>IFERROR(VLOOKUP(E461,'liquidaciones '!$B$2:$C$1048576,2,0),"NO")</f>
        <v>LIQUIDADO</v>
      </c>
      <c r="AO461" s="972" t="str">
        <f>IFERROR(VLOOKUP(E461,'liquidaciones '!$B$2:$I$1048576,8,0),"")</f>
        <v>GIOVANNI SUAREZ</v>
      </c>
      <c r="AP461" s="339"/>
      <c r="AQ461" s="177" t="s">
        <v>390</v>
      </c>
      <c r="AR461" s="177" t="s">
        <v>2919</v>
      </c>
      <c r="AS461" s="435"/>
      <c r="AT461" s="992"/>
    </row>
    <row r="462" spans="3:46" ht="30" x14ac:dyDescent="0.25">
      <c r="C462" s="439">
        <v>91</v>
      </c>
      <c r="D462" s="439" t="str">
        <f t="shared" si="98"/>
        <v>201691</v>
      </c>
      <c r="E462" s="880" t="s">
        <v>2703</v>
      </c>
      <c r="F462" s="879" t="s">
        <v>2704</v>
      </c>
      <c r="G462" s="930" t="s">
        <v>2126</v>
      </c>
      <c r="H462" s="1033" t="s">
        <v>2705</v>
      </c>
      <c r="I462" s="936">
        <v>46980000</v>
      </c>
      <c r="J462" s="715" t="s">
        <v>2706</v>
      </c>
      <c r="K462" s="295">
        <v>2016</v>
      </c>
      <c r="L462" s="548">
        <v>42643</v>
      </c>
      <c r="M462" s="882">
        <v>42664</v>
      </c>
      <c r="N462" s="882">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1">
        <f t="shared" si="91"/>
        <v>42815</v>
      </c>
      <c r="U462" s="62">
        <f t="shared" si="92"/>
        <v>46980000</v>
      </c>
      <c r="V462" s="172">
        <f>VLOOKUP(E462,Modificaciones!$B$7:$AU$462,46,0)</f>
        <v>46980000</v>
      </c>
      <c r="W462" s="93">
        <f t="shared" si="90"/>
        <v>0</v>
      </c>
      <c r="X462" s="309" t="s">
        <v>2265</v>
      </c>
      <c r="Y462" s="878">
        <f t="shared" si="93"/>
        <v>1</v>
      </c>
      <c r="Z462" s="42">
        <f t="shared" ca="1" si="94"/>
        <v>1</v>
      </c>
      <c r="AA462" s="43">
        <f t="shared" ca="1" si="95"/>
        <v>0</v>
      </c>
      <c r="AB462" s="202" t="str">
        <f t="shared" ca="1" si="96"/>
        <v/>
      </c>
      <c r="AC462" s="44" t="str">
        <f t="shared" si="89"/>
        <v>SI</v>
      </c>
      <c r="AD462" s="762" t="s">
        <v>1713</v>
      </c>
      <c r="AE462" s="173" t="s">
        <v>1258</v>
      </c>
      <c r="AF462" s="281" t="s">
        <v>2266</v>
      </c>
      <c r="AG462" s="173" t="s">
        <v>1440</v>
      </c>
      <c r="AH462" s="281" t="s">
        <v>560</v>
      </c>
      <c r="AI462" s="305" t="s">
        <v>1510</v>
      </c>
      <c r="AJ462" s="305" t="s">
        <v>600</v>
      </c>
      <c r="AK462" s="181" t="str">
        <f t="shared" ca="1" si="97"/>
        <v>TERMINO</v>
      </c>
      <c r="AL462" s="310" t="s">
        <v>574</v>
      </c>
      <c r="AM462" s="176" t="s">
        <v>390</v>
      </c>
      <c r="AN462" s="872" t="str">
        <f>IFERROR(VLOOKUP(E462,'liquidaciones '!$B$2:$C$1048576,2,0),"NO")</f>
        <v>LIQUIDADO</v>
      </c>
      <c r="AO462" s="972" t="str">
        <f>IFERROR(VLOOKUP(E462,'liquidaciones '!$B$2:$I$1048576,8,0),"")</f>
        <v>GIOVANNI SUAREZ</v>
      </c>
      <c r="AP462" s="339"/>
      <c r="AQ462" s="177" t="s">
        <v>390</v>
      </c>
      <c r="AR462" s="177" t="s">
        <v>2605</v>
      </c>
      <c r="AS462" s="435"/>
      <c r="AT462" s="992"/>
    </row>
    <row r="463" spans="3:46" ht="45" x14ac:dyDescent="0.25">
      <c r="C463" s="439"/>
      <c r="D463" s="439" t="str">
        <f t="shared" si="98"/>
        <v>2016</v>
      </c>
      <c r="E463" s="880" t="s">
        <v>2710</v>
      </c>
      <c r="F463" s="879" t="s">
        <v>186</v>
      </c>
      <c r="G463" s="930">
        <v>800039398</v>
      </c>
      <c r="H463" s="1033" t="s">
        <v>2718</v>
      </c>
      <c r="I463" s="936">
        <v>132050000</v>
      </c>
      <c r="J463" s="715" t="s">
        <v>2711</v>
      </c>
      <c r="K463" s="295">
        <v>2016</v>
      </c>
      <c r="L463" s="548">
        <v>42646</v>
      </c>
      <c r="M463" s="882">
        <v>42678</v>
      </c>
      <c r="N463" s="882">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1">
        <f t="shared" si="91"/>
        <v>43043</v>
      </c>
      <c r="U463" s="62">
        <f t="shared" si="92"/>
        <v>132050000</v>
      </c>
      <c r="V463" s="172">
        <f>VLOOKUP(E463,Modificaciones!$B$7:$AU$463,46,0)</f>
        <v>122584393</v>
      </c>
      <c r="W463" s="93">
        <f t="shared" si="90"/>
        <v>9465607</v>
      </c>
      <c r="X463" s="309"/>
      <c r="Y463" s="878">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2083</v>
      </c>
      <c r="AG463" s="173" t="s">
        <v>1440</v>
      </c>
      <c r="AH463" s="281" t="s">
        <v>560</v>
      </c>
      <c r="AI463" s="305" t="s">
        <v>1510</v>
      </c>
      <c r="AJ463" s="305" t="s">
        <v>600</v>
      </c>
      <c r="AK463" s="181" t="str">
        <f t="shared" ca="1" si="97"/>
        <v>TERMINO</v>
      </c>
      <c r="AL463" s="310" t="s">
        <v>575</v>
      </c>
      <c r="AM463" s="176" t="s">
        <v>390</v>
      </c>
      <c r="AN463" s="872" t="str">
        <f>IFERROR(VLOOKUP(E463,'liquidaciones '!$B$2:$C$1048576,2,0),"NO")</f>
        <v>LIQUIDADO</v>
      </c>
      <c r="AO463" s="972">
        <f>IFERROR(VLOOKUP(E463,'liquidaciones '!$B$2:$I$1048576,8,0),"")</f>
        <v>0</v>
      </c>
      <c r="AP463" s="339"/>
      <c r="AQ463" s="177" t="s">
        <v>390</v>
      </c>
      <c r="AR463" s="435" t="s">
        <v>3535</v>
      </c>
      <c r="AS463" s="435" t="s">
        <v>3804</v>
      </c>
      <c r="AT463" s="995" t="s">
        <v>560</v>
      </c>
    </row>
    <row r="464" spans="3:46" ht="45" x14ac:dyDescent="0.25">
      <c r="C464" s="439">
        <v>92</v>
      </c>
      <c r="D464" s="439" t="str">
        <f t="shared" si="98"/>
        <v>201692</v>
      </c>
      <c r="E464" s="880" t="s">
        <v>2712</v>
      </c>
      <c r="F464" s="879" t="s">
        <v>2713</v>
      </c>
      <c r="G464" s="930" t="s">
        <v>2714</v>
      </c>
      <c r="H464" s="1033" t="s">
        <v>2715</v>
      </c>
      <c r="I464" s="936">
        <v>173000000</v>
      </c>
      <c r="J464" s="715" t="s">
        <v>2717</v>
      </c>
      <c r="K464" s="295">
        <v>2016</v>
      </c>
      <c r="L464" s="548">
        <v>42668</v>
      </c>
      <c r="M464" s="882">
        <v>42670</v>
      </c>
      <c r="N464" s="882">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1">
        <f t="shared" si="91"/>
        <v>43159</v>
      </c>
      <c r="U464" s="62">
        <f t="shared" si="92"/>
        <v>173000000</v>
      </c>
      <c r="V464" s="172">
        <f>VLOOKUP(E464,Modificaciones!$B$7:$AU$464,46,0)</f>
        <v>114726813</v>
      </c>
      <c r="W464" s="93">
        <f t="shared" si="90"/>
        <v>58273187</v>
      </c>
      <c r="X464" s="309" t="s">
        <v>2716</v>
      </c>
      <c r="Y464" s="878">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2" t="str">
        <f>IFERROR(VLOOKUP(E464,'liquidaciones '!$B$2:$C$1048576,2,0),"NO")</f>
        <v>LIQUIDADO</v>
      </c>
      <c r="AO464" s="972">
        <f>IFERROR(VLOOKUP(E464,'liquidaciones '!$B$2:$I$1048576,8,0),"")</f>
        <v>0</v>
      </c>
      <c r="AP464" s="339"/>
      <c r="AQ464" s="177" t="s">
        <v>390</v>
      </c>
      <c r="AR464" s="435" t="s">
        <v>3535</v>
      </c>
      <c r="AS464" s="435" t="s">
        <v>3804</v>
      </c>
      <c r="AT464" s="995" t="s">
        <v>560</v>
      </c>
    </row>
    <row r="465" spans="3:46" ht="33.75" x14ac:dyDescent="0.25">
      <c r="C465" s="439"/>
      <c r="D465" s="439" t="str">
        <f t="shared" si="98"/>
        <v>2016</v>
      </c>
      <c r="E465" s="880" t="s">
        <v>2720</v>
      </c>
      <c r="F465" s="879" t="s">
        <v>2721</v>
      </c>
      <c r="G465" s="930" t="s">
        <v>2722</v>
      </c>
      <c r="H465" s="1033" t="s">
        <v>2723</v>
      </c>
      <c r="I465" s="936">
        <v>14583984</v>
      </c>
      <c r="J465" s="715" t="s">
        <v>2724</v>
      </c>
      <c r="K465" s="295">
        <v>2016</v>
      </c>
      <c r="L465" s="548">
        <v>42677</v>
      </c>
      <c r="M465" s="882">
        <v>42690</v>
      </c>
      <c r="N465" s="882">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1">
        <f t="shared" si="91"/>
        <v>42766</v>
      </c>
      <c r="U465" s="62">
        <f t="shared" si="92"/>
        <v>14583984</v>
      </c>
      <c r="V465" s="172">
        <f>VLOOKUP(E465,Modificaciones!$B$7:$AU$465,46,0)</f>
        <v>14583984</v>
      </c>
      <c r="W465" s="93">
        <f t="shared" si="90"/>
        <v>0</v>
      </c>
      <c r="X465" s="309" t="s">
        <v>2725</v>
      </c>
      <c r="Y465" s="878">
        <f t="shared" si="93"/>
        <v>1</v>
      </c>
      <c r="Z465" s="42">
        <f t="shared" ca="1" si="94"/>
        <v>1</v>
      </c>
      <c r="AA465" s="43">
        <f t="shared" ca="1" si="95"/>
        <v>0</v>
      </c>
      <c r="AB465" s="202" t="str">
        <f t="shared" ca="1" si="96"/>
        <v/>
      </c>
      <c r="AC465" s="44" t="str">
        <f t="shared" si="89"/>
        <v>SI</v>
      </c>
      <c r="AD465" s="762" t="s">
        <v>1715</v>
      </c>
      <c r="AE465" s="173" t="s">
        <v>1257</v>
      </c>
      <c r="AF465" s="281" t="s">
        <v>2726</v>
      </c>
      <c r="AG465" s="173" t="s">
        <v>1436</v>
      </c>
      <c r="AH465" s="281" t="s">
        <v>560</v>
      </c>
      <c r="AI465" s="305" t="s">
        <v>1390</v>
      </c>
      <c r="AJ465" s="305" t="s">
        <v>600</v>
      </c>
      <c r="AK465" s="181" t="str">
        <f t="shared" ca="1" si="97"/>
        <v>TERMINO</v>
      </c>
      <c r="AL465" s="310" t="s">
        <v>576</v>
      </c>
      <c r="AM465" s="176" t="s">
        <v>390</v>
      </c>
      <c r="AN465" s="872" t="str">
        <f>IFERROR(VLOOKUP(E465,'liquidaciones '!$B$2:$C$1048576,2,0),"NO")</f>
        <v>LIQUIDADO</v>
      </c>
      <c r="AO465" s="972" t="str">
        <f>IFERROR(VLOOKUP(E465,'liquidaciones '!$B$2:$I$1048576,8,0),"")</f>
        <v>MANUEL ROJAS</v>
      </c>
      <c r="AP465" s="339"/>
      <c r="AQ465" s="177" t="s">
        <v>390</v>
      </c>
      <c r="AR465" s="177" t="s">
        <v>1511</v>
      </c>
      <c r="AS465" s="435"/>
      <c r="AT465" s="992"/>
    </row>
    <row r="466" spans="3:46" ht="56.25" x14ac:dyDescent="0.25">
      <c r="C466" s="439">
        <v>203</v>
      </c>
      <c r="D466" s="439" t="str">
        <f t="shared" si="98"/>
        <v>2016203</v>
      </c>
      <c r="E466" s="880" t="s">
        <v>2728</v>
      </c>
      <c r="F466" s="879" t="s">
        <v>1339</v>
      </c>
      <c r="G466" s="930" t="s">
        <v>2729</v>
      </c>
      <c r="H466" s="1033" t="s">
        <v>2730</v>
      </c>
      <c r="I466" s="936">
        <v>103330468</v>
      </c>
      <c r="J466" s="715" t="s">
        <v>2728</v>
      </c>
      <c r="K466" s="295">
        <v>2016</v>
      </c>
      <c r="L466" s="548">
        <v>42685</v>
      </c>
      <c r="M466" s="882">
        <v>42689</v>
      </c>
      <c r="N466" s="882">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1">
        <f t="shared" si="91"/>
        <v>42825</v>
      </c>
      <c r="U466" s="62">
        <f t="shared" si="92"/>
        <v>152266386</v>
      </c>
      <c r="V466" s="172">
        <f>VLOOKUP(E466,Modificaciones!$B$7:$AU$466,46,0)</f>
        <v>116386336</v>
      </c>
      <c r="W466" s="93">
        <f t="shared" si="90"/>
        <v>35880050</v>
      </c>
      <c r="X466" s="309" t="s">
        <v>2187</v>
      </c>
      <c r="Y466" s="878">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2188</v>
      </c>
      <c r="AG466" s="173" t="s">
        <v>1440</v>
      </c>
      <c r="AH466" s="281" t="s">
        <v>560</v>
      </c>
      <c r="AI466" s="305" t="s">
        <v>1510</v>
      </c>
      <c r="AJ466" s="305" t="s">
        <v>600</v>
      </c>
      <c r="AK466" s="181" t="str">
        <f t="shared" ca="1" si="97"/>
        <v>TERMINO</v>
      </c>
      <c r="AL466" s="310" t="s">
        <v>573</v>
      </c>
      <c r="AM466" s="176" t="s">
        <v>390</v>
      </c>
      <c r="AN466" s="872" t="str">
        <f>IFERROR(VLOOKUP(E466,'liquidaciones '!$B$2:$C$1048576,2,0),"NO")</f>
        <v>NO</v>
      </c>
      <c r="AO466" s="972" t="str">
        <f>IFERROR(VLOOKUP(E466,'liquidaciones '!$B$2:$I$1048576,8,0),"")</f>
        <v>GIOVANNI SUAREZ</v>
      </c>
      <c r="AP466" s="339"/>
      <c r="AQ466" s="177" t="str">
        <f ca="1">IF((TODAY()-T466&lt;900),"SI","NO")</f>
        <v>SI</v>
      </c>
      <c r="AR466" s="177" t="s">
        <v>2605</v>
      </c>
      <c r="AS466" s="435"/>
      <c r="AT466" s="992"/>
    </row>
    <row r="467" spans="3:46" ht="45" x14ac:dyDescent="0.25">
      <c r="C467" s="439">
        <v>234</v>
      </c>
      <c r="D467" s="439" t="str">
        <f t="shared" si="98"/>
        <v>2016234</v>
      </c>
      <c r="E467" s="880" t="s">
        <v>2731</v>
      </c>
      <c r="F467" s="879" t="s">
        <v>244</v>
      </c>
      <c r="G467" s="930">
        <v>800058607</v>
      </c>
      <c r="H467" s="1033" t="s">
        <v>3054</v>
      </c>
      <c r="I467" s="936">
        <v>112554160</v>
      </c>
      <c r="J467" s="715" t="s">
        <v>2734</v>
      </c>
      <c r="K467" s="295">
        <v>2016</v>
      </c>
      <c r="L467" s="548">
        <v>42696</v>
      </c>
      <c r="M467" s="882">
        <v>42696</v>
      </c>
      <c r="N467" s="882">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1">
        <f t="shared" si="91"/>
        <v>42726</v>
      </c>
      <c r="U467" s="62">
        <f t="shared" si="92"/>
        <v>112554160</v>
      </c>
      <c r="V467" s="172">
        <f>VLOOKUP(E467,Modificaciones!$B$7:$AU$467,46,0)</f>
        <v>112554160</v>
      </c>
      <c r="W467" s="93">
        <f t="shared" si="90"/>
        <v>0</v>
      </c>
      <c r="X467" s="309" t="s">
        <v>2732</v>
      </c>
      <c r="Y467" s="878">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2733</v>
      </c>
      <c r="AM467" s="176"/>
      <c r="AN467" s="872" t="str">
        <f>IFERROR(VLOOKUP(E467,'liquidaciones '!$B$2:$C$1048576,2,0),"NO")</f>
        <v>LIQUIDADO</v>
      </c>
      <c r="AO467" s="972" t="str">
        <f>IFERROR(VLOOKUP(E467,'liquidaciones '!$B$2:$I$1048576,8,0),"")</f>
        <v>GIOVANNI SUAREZ</v>
      </c>
      <c r="AP467" s="339"/>
      <c r="AQ467" s="177"/>
      <c r="AR467" s="177" t="s">
        <v>2609</v>
      </c>
      <c r="AS467" s="435"/>
      <c r="AT467" s="992"/>
    </row>
    <row r="468" spans="3:46" ht="56.25" x14ac:dyDescent="0.25">
      <c r="C468" s="439"/>
      <c r="D468" s="439" t="str">
        <f t="shared" si="98"/>
        <v>2016</v>
      </c>
      <c r="E468" s="880" t="s">
        <v>2738</v>
      </c>
      <c r="F468" s="879" t="s">
        <v>2736</v>
      </c>
      <c r="G468" s="930">
        <v>900699012</v>
      </c>
      <c r="H468" s="1033" t="s">
        <v>2737</v>
      </c>
      <c r="I468" s="936">
        <v>15999901</v>
      </c>
      <c r="J468" s="715" t="s">
        <v>2735</v>
      </c>
      <c r="K468" s="295">
        <v>2016</v>
      </c>
      <c r="L468" s="548">
        <v>42702</v>
      </c>
      <c r="M468" s="882">
        <v>42705</v>
      </c>
      <c r="N468" s="882">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1">
        <f t="shared" si="91"/>
        <v>42767</v>
      </c>
      <c r="U468" s="62">
        <f t="shared" si="92"/>
        <v>15999901</v>
      </c>
      <c r="V468" s="172">
        <f>VLOOKUP(E468,Modificaciones!$B$7:$AU$468,46,0)</f>
        <v>15999901</v>
      </c>
      <c r="W468" s="93">
        <f t="shared" si="90"/>
        <v>0</v>
      </c>
      <c r="X468" s="309" t="s">
        <v>2276</v>
      </c>
      <c r="Y468" s="878">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2" t="str">
        <f>IFERROR(VLOOKUP(E468,'liquidaciones '!$B$2:$C$1048576,2,0),"NO")</f>
        <v>LIQUIDADO</v>
      </c>
      <c r="AO468" s="972" t="str">
        <f>IFERROR(VLOOKUP(E468,'liquidaciones '!$B$2:$I$1048576,8,0),"")</f>
        <v>MANUEL ROJAS</v>
      </c>
      <c r="AP468" s="339"/>
      <c r="AQ468" s="177" t="s">
        <v>390</v>
      </c>
      <c r="AR468" s="177" t="s">
        <v>981</v>
      </c>
      <c r="AS468" s="435"/>
      <c r="AT468" s="992"/>
    </row>
    <row r="469" spans="3:46" ht="33.75" x14ac:dyDescent="0.25">
      <c r="C469" s="439"/>
      <c r="D469" s="439" t="str">
        <f t="shared" si="98"/>
        <v>2016</v>
      </c>
      <c r="E469" s="880" t="s">
        <v>2739</v>
      </c>
      <c r="F469" s="879" t="s">
        <v>1339</v>
      </c>
      <c r="G469" s="930" t="s">
        <v>2729</v>
      </c>
      <c r="H469" s="1033" t="s">
        <v>2740</v>
      </c>
      <c r="I469" s="936">
        <v>12706080</v>
      </c>
      <c r="J469" s="715" t="s">
        <v>2739</v>
      </c>
      <c r="K469" s="295">
        <v>2016</v>
      </c>
      <c r="L469" s="548">
        <v>42690</v>
      </c>
      <c r="M469" s="882">
        <v>42705</v>
      </c>
      <c r="N469" s="882">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1">
        <f t="shared" si="91"/>
        <v>42736</v>
      </c>
      <c r="U469" s="62">
        <f t="shared" si="92"/>
        <v>12706080</v>
      </c>
      <c r="V469" s="172">
        <f>VLOOKUP(E469,Modificaciones!$B$7:$AU$469,46,0)</f>
        <v>12706032</v>
      </c>
      <c r="W469" s="93">
        <f t="shared" si="90"/>
        <v>48</v>
      </c>
      <c r="X469" s="309" t="s">
        <v>2741</v>
      </c>
      <c r="Y469" s="878">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2" t="str">
        <f>IFERROR(VLOOKUP(E469,'liquidaciones '!$B$2:$C$1048576,2,0),"NO")</f>
        <v>LIQUIDADO</v>
      </c>
      <c r="AO469" s="972" t="str">
        <f>IFERROR(VLOOKUP(E469,'liquidaciones '!$B$2:$I$1048576,8,0),"")</f>
        <v>DORA PINILLA</v>
      </c>
      <c r="AP469" s="339"/>
      <c r="AQ469" s="177"/>
      <c r="AR469" s="177" t="s">
        <v>2609</v>
      </c>
      <c r="AS469" s="435"/>
      <c r="AT469" s="992"/>
    </row>
    <row r="470" spans="3:46" ht="33.75" x14ac:dyDescent="0.25">
      <c r="C470" s="439">
        <v>216</v>
      </c>
      <c r="D470" s="439" t="str">
        <f t="shared" si="98"/>
        <v>2016216</v>
      </c>
      <c r="E470" s="880" t="s">
        <v>2745</v>
      </c>
      <c r="F470" s="892" t="s">
        <v>2744</v>
      </c>
      <c r="G470" s="930">
        <v>890900608</v>
      </c>
      <c r="H470" s="1033" t="s">
        <v>2746</v>
      </c>
      <c r="I470" s="936">
        <v>35851660</v>
      </c>
      <c r="J470" s="715" t="s">
        <v>2748</v>
      </c>
      <c r="K470" s="295">
        <v>2016</v>
      </c>
      <c r="L470" s="548">
        <v>42703</v>
      </c>
      <c r="M470" s="882">
        <v>42710</v>
      </c>
      <c r="N470" s="882">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1">
        <f t="shared" si="91"/>
        <v>42831</v>
      </c>
      <c r="U470" s="62">
        <f t="shared" si="92"/>
        <v>35851660</v>
      </c>
      <c r="V470" s="172">
        <f>VLOOKUP(E470,Modificaciones!$B$7:$AU$470,46,0)</f>
        <v>28129770</v>
      </c>
      <c r="W470" s="93">
        <f t="shared" si="90"/>
        <v>7721890</v>
      </c>
      <c r="X470" s="309" t="s">
        <v>2747</v>
      </c>
      <c r="Y470" s="878">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2" t="str">
        <f>IFERROR(VLOOKUP(E470,'liquidaciones '!$B$2:$C$1048576,2,0),"NO")</f>
        <v>LIQUIDADO</v>
      </c>
      <c r="AO470" s="972" t="str">
        <f>IFERROR(VLOOKUP(E470,'liquidaciones '!$B$2:$I$1048576,8,0),"")</f>
        <v>JULIETH ANGARITA</v>
      </c>
      <c r="AP470" s="339"/>
      <c r="AQ470" s="177" t="s">
        <v>390</v>
      </c>
      <c r="AR470" s="177" t="s">
        <v>981</v>
      </c>
      <c r="AS470" s="435"/>
      <c r="AT470" s="992"/>
    </row>
    <row r="471" spans="3:46" ht="33.75" x14ac:dyDescent="0.25">
      <c r="C471" s="439">
        <v>128</v>
      </c>
      <c r="D471" s="439" t="str">
        <f t="shared" si="98"/>
        <v>2016128</v>
      </c>
      <c r="E471" s="892" t="s">
        <v>2751</v>
      </c>
      <c r="F471" s="890" t="s">
        <v>2752</v>
      </c>
      <c r="G471" s="930">
        <v>1032431625</v>
      </c>
      <c r="H471" s="1033" t="s">
        <v>2230</v>
      </c>
      <c r="I471" s="936">
        <v>6860000</v>
      </c>
      <c r="J471" s="715" t="s">
        <v>2751</v>
      </c>
      <c r="K471" s="295">
        <v>2016</v>
      </c>
      <c r="L471" s="548">
        <v>42710</v>
      </c>
      <c r="M471" s="891">
        <v>42717</v>
      </c>
      <c r="N471" s="891">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1">
        <f t="shared" si="91"/>
        <v>42779</v>
      </c>
      <c r="U471" s="62">
        <f t="shared" si="92"/>
        <v>6860000</v>
      </c>
      <c r="V471" s="172">
        <f>VLOOKUP(E471,Modificaciones!$B$7:$AU$471,46,0)</f>
        <v>6860000</v>
      </c>
      <c r="W471" s="93">
        <f t="shared" si="90"/>
        <v>0</v>
      </c>
      <c r="X471" s="309" t="s">
        <v>2118</v>
      </c>
      <c r="Y471" s="878">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2" t="str">
        <f>IFERROR(VLOOKUP(E471,'liquidaciones '!$B$2:$C$1048576,2,0),"NO")</f>
        <v>LIQUIDADO</v>
      </c>
      <c r="AO471" s="972" t="str">
        <f>IFERROR(VLOOKUP(E471,'liquidaciones '!$B$2:$I$1048576,8,0),"")</f>
        <v>JULIETH ANGARITA</v>
      </c>
      <c r="AP471" s="339"/>
      <c r="AQ471" s="177" t="s">
        <v>390</v>
      </c>
      <c r="AR471" s="177" t="s">
        <v>981</v>
      </c>
      <c r="AS471" s="435"/>
      <c r="AT471" s="992"/>
    </row>
    <row r="472" spans="3:46" ht="30" x14ac:dyDescent="0.25">
      <c r="C472" s="439"/>
      <c r="D472" s="439" t="str">
        <f t="shared" si="98"/>
        <v>2016</v>
      </c>
      <c r="E472" s="880" t="s">
        <v>2753</v>
      </c>
      <c r="F472" s="879" t="s">
        <v>2511</v>
      </c>
      <c r="G472" s="930">
        <v>890900943</v>
      </c>
      <c r="H472" s="1033" t="s">
        <v>3055</v>
      </c>
      <c r="I472" s="936">
        <v>21312104</v>
      </c>
      <c r="J472" s="715" t="s">
        <v>2754</v>
      </c>
      <c r="K472" s="295">
        <v>2016</v>
      </c>
      <c r="L472" s="548">
        <v>42711</v>
      </c>
      <c r="M472" s="882">
        <v>42711</v>
      </c>
      <c r="N472" s="882">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1">
        <f t="shared" si="91"/>
        <v>42719</v>
      </c>
      <c r="U472" s="62">
        <f t="shared" si="92"/>
        <v>21312104</v>
      </c>
      <c r="V472" s="172">
        <f>VLOOKUP(E472,Modificaciones!$B$7:$AU$472,46,0)</f>
        <v>21312104</v>
      </c>
      <c r="W472" s="93">
        <f t="shared" si="90"/>
        <v>0</v>
      </c>
      <c r="X472" s="309" t="s">
        <v>2741</v>
      </c>
      <c r="Y472" s="878">
        <f t="shared" si="93"/>
        <v>1</v>
      </c>
      <c r="Z472" s="42">
        <f t="shared" ca="1" si="94"/>
        <v>1</v>
      </c>
      <c r="AA472" s="43">
        <f t="shared" ca="1" si="95"/>
        <v>0</v>
      </c>
      <c r="AB472" s="202" t="str">
        <f t="shared" ca="1" si="96"/>
        <v/>
      </c>
      <c r="AC472" s="44" t="str">
        <f t="shared" si="99"/>
        <v>SI</v>
      </c>
      <c r="AD472" s="762"/>
      <c r="AE472" s="173"/>
      <c r="AF472" s="281" t="s">
        <v>2755</v>
      </c>
      <c r="AG472" s="173"/>
      <c r="AH472" s="281"/>
      <c r="AI472" s="305"/>
      <c r="AJ472" s="305" t="s">
        <v>600</v>
      </c>
      <c r="AK472" s="181" t="str">
        <f t="shared" ca="1" si="97"/>
        <v>TERMINO</v>
      </c>
      <c r="AL472" s="310" t="s">
        <v>2733</v>
      </c>
      <c r="AM472" s="176"/>
      <c r="AN472" s="872" t="str">
        <f>IFERROR(VLOOKUP(E472,'liquidaciones '!$B$2:$C$1048576,2,0),"NO")</f>
        <v>LIQUIDADO</v>
      </c>
      <c r="AO472" s="972" t="str">
        <f>IFERROR(VLOOKUP(E472,'liquidaciones '!$B$2:$I$1048576,8,0),"")</f>
        <v>DORA PINILLA</v>
      </c>
      <c r="AP472" s="339"/>
      <c r="AQ472" s="177"/>
      <c r="AR472" s="177" t="s">
        <v>2609</v>
      </c>
      <c r="AS472" s="435"/>
      <c r="AT472" s="992"/>
    </row>
    <row r="473" spans="3:46" ht="33.75" x14ac:dyDescent="0.25">
      <c r="C473" s="439"/>
      <c r="D473" s="439" t="str">
        <f t="shared" si="98"/>
        <v>2016</v>
      </c>
      <c r="E473" s="880" t="s">
        <v>2756</v>
      </c>
      <c r="F473" s="879" t="s">
        <v>2757</v>
      </c>
      <c r="G473" s="930">
        <v>1014236408</v>
      </c>
      <c r="H473" s="1033" t="s">
        <v>2758</v>
      </c>
      <c r="I473" s="936">
        <v>1800000</v>
      </c>
      <c r="J473" s="715" t="s">
        <v>2756</v>
      </c>
      <c r="K473" s="295">
        <v>2016</v>
      </c>
      <c r="L473" s="548">
        <v>42706</v>
      </c>
      <c r="M473" s="882">
        <v>42713</v>
      </c>
      <c r="N473" s="882">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1">
        <f t="shared" si="91"/>
        <v>42744</v>
      </c>
      <c r="U473" s="62">
        <f t="shared" si="92"/>
        <v>1800000</v>
      </c>
      <c r="V473" s="172">
        <f>VLOOKUP(E473,Modificaciones!$B$7:$AU$473,46,0)</f>
        <v>1800000</v>
      </c>
      <c r="W473" s="93">
        <f t="shared" si="90"/>
        <v>0</v>
      </c>
      <c r="X473" s="309" t="s">
        <v>2759</v>
      </c>
      <c r="Y473" s="878">
        <f t="shared" si="93"/>
        <v>1</v>
      </c>
      <c r="Z473" s="42">
        <f t="shared" ca="1" si="94"/>
        <v>1</v>
      </c>
      <c r="AA473" s="43">
        <f t="shared" ca="1" si="95"/>
        <v>0</v>
      </c>
      <c r="AB473" s="202" t="str">
        <f t="shared" ca="1" si="96"/>
        <v/>
      </c>
      <c r="AC473" s="44" t="str">
        <f t="shared" si="99"/>
        <v>SI</v>
      </c>
      <c r="AD473" s="762" t="s">
        <v>1714</v>
      </c>
      <c r="AE473" s="173" t="s">
        <v>1257</v>
      </c>
      <c r="AF473" s="281" t="s">
        <v>2760</v>
      </c>
      <c r="AG473" s="173"/>
      <c r="AH473" s="281" t="s">
        <v>559</v>
      </c>
      <c r="AI473" s="305"/>
      <c r="AJ473" s="305" t="s">
        <v>600</v>
      </c>
      <c r="AK473" s="181" t="str">
        <f t="shared" ca="1" si="97"/>
        <v>TERMINO</v>
      </c>
      <c r="AL473" s="310" t="s">
        <v>582</v>
      </c>
      <c r="AM473" s="176" t="s">
        <v>391</v>
      </c>
      <c r="AN473" s="872" t="str">
        <f>IFERROR(VLOOKUP(E473,'liquidaciones '!$B$2:$C$1048576,2,0),"NO")</f>
        <v>LIQUIDADO</v>
      </c>
      <c r="AO473" s="972" t="str">
        <f>IFERROR(VLOOKUP(E473,'liquidaciones '!$B$2:$I$1048576,8,0),"")</f>
        <v>CLAUDIA VANEGAS</v>
      </c>
      <c r="AP473" s="339"/>
      <c r="AQ473" s="177" t="s">
        <v>390</v>
      </c>
      <c r="AR473" s="177" t="s">
        <v>2608</v>
      </c>
      <c r="AS473" s="435"/>
      <c r="AT473" s="992"/>
    </row>
    <row r="474" spans="3:46" ht="33.75" x14ac:dyDescent="0.25">
      <c r="C474" s="439">
        <v>209</v>
      </c>
      <c r="D474" s="439" t="str">
        <f t="shared" si="98"/>
        <v>2016209</v>
      </c>
      <c r="E474" s="892" t="s">
        <v>2761</v>
      </c>
      <c r="F474" s="890" t="s">
        <v>1346</v>
      </c>
      <c r="G474" s="974">
        <v>830120684</v>
      </c>
      <c r="H474" s="1033" t="s">
        <v>2762</v>
      </c>
      <c r="I474" s="936">
        <v>3000000</v>
      </c>
      <c r="J474" s="898" t="s">
        <v>2764</v>
      </c>
      <c r="K474" s="295">
        <v>2016</v>
      </c>
      <c r="L474" s="548">
        <v>42703</v>
      </c>
      <c r="M474" s="891">
        <v>42726</v>
      </c>
      <c r="N474" s="891">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1">
        <f t="shared" si="91"/>
        <v>42847</v>
      </c>
      <c r="U474" s="62">
        <f t="shared" si="92"/>
        <v>3000000</v>
      </c>
      <c r="V474" s="172">
        <f>VLOOKUP(E474,Modificaciones!$B$7:$AU$474,46,0)</f>
        <v>2462930</v>
      </c>
      <c r="W474" s="93">
        <f t="shared" si="90"/>
        <v>537070</v>
      </c>
      <c r="X474" s="309" t="s">
        <v>2244</v>
      </c>
      <c r="Y474" s="878">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2763</v>
      </c>
      <c r="AJ474" s="305" t="s">
        <v>600</v>
      </c>
      <c r="AK474" s="181" t="str">
        <f t="shared" ca="1" si="97"/>
        <v>TERMINO</v>
      </c>
      <c r="AL474" s="310" t="s">
        <v>576</v>
      </c>
      <c r="AM474" s="176" t="s">
        <v>390</v>
      </c>
      <c r="AN474" s="872" t="str">
        <f>IFERROR(VLOOKUP(E474,'liquidaciones '!$B$2:$C$1048576,2,0),"NO")</f>
        <v>LIQUIDADO</v>
      </c>
      <c r="AO474" s="972" t="str">
        <f>IFERROR(VLOOKUP(E474,'liquidaciones '!$B$2:$I$1048576,8,0),"")</f>
        <v>MANUEL ROJAS</v>
      </c>
      <c r="AP474" s="339"/>
      <c r="AQ474" s="177" t="s">
        <v>390</v>
      </c>
      <c r="AR474" s="177" t="s">
        <v>981</v>
      </c>
      <c r="AS474" s="435"/>
      <c r="AT474" s="992"/>
    </row>
    <row r="475" spans="3:46" ht="33.75" x14ac:dyDescent="0.25">
      <c r="C475" s="439">
        <v>207</v>
      </c>
      <c r="D475" s="439" t="str">
        <f t="shared" si="98"/>
        <v>2016207</v>
      </c>
      <c r="E475" s="880" t="s">
        <v>2765</v>
      </c>
      <c r="F475" s="879" t="s">
        <v>2766</v>
      </c>
      <c r="G475" s="930" t="s">
        <v>2767</v>
      </c>
      <c r="H475" s="1033" t="s">
        <v>2768</v>
      </c>
      <c r="I475" s="936">
        <v>64285000</v>
      </c>
      <c r="J475" s="715" t="s">
        <v>2770</v>
      </c>
      <c r="K475" s="295">
        <v>2016</v>
      </c>
      <c r="L475" s="548">
        <v>42726</v>
      </c>
      <c r="M475" s="882">
        <v>42730</v>
      </c>
      <c r="N475" s="882">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1">
        <f t="shared" si="91"/>
        <v>42828</v>
      </c>
      <c r="U475" s="62">
        <f t="shared" si="92"/>
        <v>82285000</v>
      </c>
      <c r="V475" s="172">
        <f>VLOOKUP(E475,Modificaciones!$B$7:$AU$475,46,0)</f>
        <v>77352158</v>
      </c>
      <c r="W475" s="93">
        <f t="shared" si="90"/>
        <v>4932842</v>
      </c>
      <c r="X475" s="309" t="s">
        <v>2769</v>
      </c>
      <c r="Y475" s="878">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2" t="str">
        <f>IFERROR(VLOOKUP(E475,'liquidaciones '!$B$2:$C$1048576,2,0),"NO")</f>
        <v>LIQUIDADO</v>
      </c>
      <c r="AO475" s="972">
        <f>IFERROR(VLOOKUP(E475,'liquidaciones '!$B$2:$I$1048576,8,0),"")</f>
        <v>0</v>
      </c>
      <c r="AP475" s="339"/>
      <c r="AQ475" s="177" t="s">
        <v>390</v>
      </c>
      <c r="AR475" s="177" t="s">
        <v>2919</v>
      </c>
      <c r="AS475" s="435"/>
      <c r="AT475" s="992"/>
    </row>
    <row r="476" spans="3:46" ht="67.5" x14ac:dyDescent="0.25">
      <c r="C476" s="439">
        <v>154</v>
      </c>
      <c r="D476" s="439" t="str">
        <f t="shared" si="98"/>
        <v>2016154</v>
      </c>
      <c r="E476" s="880" t="s">
        <v>2771</v>
      </c>
      <c r="F476" s="879" t="s">
        <v>2772</v>
      </c>
      <c r="G476" s="930">
        <v>811028699</v>
      </c>
      <c r="H476" s="1033" t="s">
        <v>522</v>
      </c>
      <c r="I476" s="936">
        <v>400000000</v>
      </c>
      <c r="J476" s="715" t="s">
        <v>2773</v>
      </c>
      <c r="K476" s="295">
        <v>2016</v>
      </c>
      <c r="L476" s="548">
        <v>42725</v>
      </c>
      <c r="M476" s="882">
        <v>42752</v>
      </c>
      <c r="N476" s="882">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1">
        <f t="shared" si="91"/>
        <v>42933</v>
      </c>
      <c r="U476" s="62">
        <f t="shared" si="92"/>
        <v>400000000</v>
      </c>
      <c r="V476" s="172">
        <f>VLOOKUP(E476,Modificaciones!$B$7:$AU$476,46,0)</f>
        <v>399999924</v>
      </c>
      <c r="W476" s="93">
        <f t="shared" si="90"/>
        <v>76</v>
      </c>
      <c r="X476" s="309" t="s">
        <v>2774</v>
      </c>
      <c r="Y476" s="878">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2" t="str">
        <f>IFERROR(VLOOKUP(E476,'liquidaciones '!$B$2:$C$1048576,2,0),"NO")</f>
        <v>LIQUIDADO</v>
      </c>
      <c r="AO476" s="972">
        <f>IFERROR(VLOOKUP(E476,'liquidaciones '!$B$2:$I$1048576,8,0),"")</f>
        <v>0</v>
      </c>
      <c r="AP476" s="339"/>
      <c r="AQ476" s="177" t="s">
        <v>390</v>
      </c>
      <c r="AR476" s="177" t="s">
        <v>2991</v>
      </c>
      <c r="AS476" s="435"/>
      <c r="AT476" s="992"/>
    </row>
    <row r="477" spans="3:46" ht="30" x14ac:dyDescent="0.25">
      <c r="C477" s="439"/>
      <c r="D477" s="439" t="str">
        <f t="shared" si="98"/>
        <v>2016</v>
      </c>
      <c r="E477" s="880" t="s">
        <v>2775</v>
      </c>
      <c r="F477" s="879" t="s">
        <v>2776</v>
      </c>
      <c r="G477" s="930" t="s">
        <v>2777</v>
      </c>
      <c r="H477" s="1033" t="s">
        <v>2778</v>
      </c>
      <c r="I477" s="936">
        <v>4499988</v>
      </c>
      <c r="J477" s="715" t="s">
        <v>2779</v>
      </c>
      <c r="K477" s="295">
        <v>2016</v>
      </c>
      <c r="L477" s="548">
        <v>42725</v>
      </c>
      <c r="M477" s="882">
        <v>42751</v>
      </c>
      <c r="N477" s="882">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1">
        <f t="shared" si="91"/>
        <v>42782</v>
      </c>
      <c r="U477" s="62">
        <f t="shared" si="92"/>
        <v>4499988</v>
      </c>
      <c r="V477" s="172">
        <f>VLOOKUP(E477,Modificaciones!$B$7:$AU$477,46,0)</f>
        <v>4499988</v>
      </c>
      <c r="W477" s="93">
        <f t="shared" si="90"/>
        <v>0</v>
      </c>
      <c r="X477" s="309" t="s">
        <v>2741</v>
      </c>
      <c r="Y477" s="878">
        <f t="shared" si="93"/>
        <v>1</v>
      </c>
      <c r="Z477" s="42">
        <f t="shared" ca="1" si="94"/>
        <v>1</v>
      </c>
      <c r="AA477" s="43">
        <f t="shared" ca="1" si="95"/>
        <v>0</v>
      </c>
      <c r="AB477" s="202" t="str">
        <f t="shared" ca="1" si="96"/>
        <v/>
      </c>
      <c r="AC477" s="44" t="str">
        <f t="shared" si="99"/>
        <v>SI</v>
      </c>
      <c r="AD477" s="762"/>
      <c r="AE477" s="173"/>
      <c r="AF477" s="281" t="s">
        <v>2780</v>
      </c>
      <c r="AG477" s="173"/>
      <c r="AH477" s="281"/>
      <c r="AI477" s="305"/>
      <c r="AJ477" s="305" t="s">
        <v>600</v>
      </c>
      <c r="AK477" s="181" t="str">
        <f t="shared" ca="1" si="97"/>
        <v>TERMINO</v>
      </c>
      <c r="AL477" s="310" t="s">
        <v>576</v>
      </c>
      <c r="AM477" s="176" t="s">
        <v>391</v>
      </c>
      <c r="AN477" s="872" t="str">
        <f>IFERROR(VLOOKUP(E477,'liquidaciones '!$B$2:$C$1048576,2,0),"NO")</f>
        <v>LIQUIDADO</v>
      </c>
      <c r="AO477" s="972" t="str">
        <f>IFERROR(VLOOKUP(E477,'liquidaciones '!$B$2:$I$1048576,8,0),"")</f>
        <v>MANUEL ROJAS</v>
      </c>
      <c r="AP477" s="339"/>
      <c r="AQ477" s="177" t="s">
        <v>390</v>
      </c>
      <c r="AR477" s="177" t="s">
        <v>2605</v>
      </c>
      <c r="AS477" s="435"/>
      <c r="AT477" s="992"/>
    </row>
    <row r="478" spans="3:46" ht="22.5" x14ac:dyDescent="0.25">
      <c r="C478" s="439">
        <v>88</v>
      </c>
      <c r="D478" s="439" t="str">
        <f t="shared" si="98"/>
        <v>201688</v>
      </c>
      <c r="E478" s="880" t="s">
        <v>2781</v>
      </c>
      <c r="F478" s="879" t="s">
        <v>2782</v>
      </c>
      <c r="G478" s="930" t="s">
        <v>2783</v>
      </c>
      <c r="H478" s="1033" t="s">
        <v>2784</v>
      </c>
      <c r="I478" s="936">
        <v>495119</v>
      </c>
      <c r="J478" s="715" t="s">
        <v>2781</v>
      </c>
      <c r="K478" s="295">
        <v>2016</v>
      </c>
      <c r="L478" s="548">
        <v>42731</v>
      </c>
      <c r="M478" s="882">
        <v>42745</v>
      </c>
      <c r="N478" s="882">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1">
        <f t="shared" si="91"/>
        <v>43110</v>
      </c>
      <c r="U478" s="62">
        <f t="shared" si="92"/>
        <v>495119</v>
      </c>
      <c r="V478" s="172">
        <f>VLOOKUP(E478,Modificaciones!$B$7:$AU$478,46,0)</f>
        <v>426827</v>
      </c>
      <c r="W478" s="93">
        <f t="shared" si="90"/>
        <v>68292</v>
      </c>
      <c r="X478" s="309" t="s">
        <v>2741</v>
      </c>
      <c r="Y478" s="878">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2" t="str">
        <f>IFERROR(VLOOKUP(E478,'liquidaciones '!$B$2:$C$1048576,2,0),"NO")</f>
        <v>LIQUIDADO</v>
      </c>
      <c r="AO478" s="972">
        <f>IFERROR(VLOOKUP(E478,'liquidaciones '!$B$2:$I$1048576,8,0),"")</f>
        <v>0</v>
      </c>
      <c r="AP478" s="339"/>
      <c r="AQ478" s="177" t="s">
        <v>390</v>
      </c>
      <c r="AR478" s="177" t="s">
        <v>2919</v>
      </c>
      <c r="AS478" s="435"/>
      <c r="AT478" s="995" t="s">
        <v>3968</v>
      </c>
    </row>
    <row r="479" spans="3:46" ht="33.75" x14ac:dyDescent="0.25">
      <c r="C479" s="439"/>
      <c r="D479" s="439" t="str">
        <f t="shared" si="98"/>
        <v>2016</v>
      </c>
      <c r="E479" s="880" t="s">
        <v>2785</v>
      </c>
      <c r="F479" s="879" t="s">
        <v>2786</v>
      </c>
      <c r="G479" s="930" t="s">
        <v>2787</v>
      </c>
      <c r="H479" s="1033" t="s">
        <v>2788</v>
      </c>
      <c r="I479" s="936">
        <v>94318804</v>
      </c>
      <c r="J479" s="715" t="s">
        <v>2791</v>
      </c>
      <c r="K479" s="295">
        <v>2016</v>
      </c>
      <c r="L479" s="548">
        <v>42727</v>
      </c>
      <c r="M479" s="882">
        <v>42737</v>
      </c>
      <c r="N479" s="882">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1">
        <f t="shared" si="91"/>
        <v>42796</v>
      </c>
      <c r="U479" s="62">
        <f t="shared" si="92"/>
        <v>94318804</v>
      </c>
      <c r="V479" s="172">
        <f>VLOOKUP(E479,Modificaciones!$B$7:$AU$479,46,0)</f>
        <v>66718804</v>
      </c>
      <c r="W479" s="93">
        <f t="shared" si="90"/>
        <v>27600000</v>
      </c>
      <c r="X479" s="309" t="s">
        <v>2789</v>
      </c>
      <c r="Y479" s="878">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2790</v>
      </c>
      <c r="AG479" s="173"/>
      <c r="AH479" s="281"/>
      <c r="AI479" s="305"/>
      <c r="AJ479" s="305" t="s">
        <v>600</v>
      </c>
      <c r="AK479" s="181" t="str">
        <f t="shared" ca="1" si="97"/>
        <v>TERMINO</v>
      </c>
      <c r="AL479" s="310" t="s">
        <v>995</v>
      </c>
      <c r="AM479" s="176" t="s">
        <v>391</v>
      </c>
      <c r="AN479" s="872" t="str">
        <f>IFERROR(VLOOKUP(E479,'liquidaciones '!$B$2:$C$1048576,2,0),"NO")</f>
        <v>LIQUIDADO</v>
      </c>
      <c r="AO479" s="972" t="str">
        <f>IFERROR(VLOOKUP(E479,'liquidaciones '!$B$2:$I$1048576,8,0),"")</f>
        <v>MANUEL ROJAS</v>
      </c>
      <c r="AP479" s="339"/>
      <c r="AQ479" s="177" t="s">
        <v>390</v>
      </c>
      <c r="AR479" s="177" t="s">
        <v>2605</v>
      </c>
      <c r="AS479" s="435"/>
      <c r="AT479" s="992"/>
    </row>
    <row r="480" spans="3:46" ht="57" customHeight="1" x14ac:dyDescent="0.25">
      <c r="C480" s="439">
        <v>89</v>
      </c>
      <c r="D480" s="439" t="str">
        <f t="shared" si="98"/>
        <v>201689</v>
      </c>
      <c r="E480" s="880" t="s">
        <v>2792</v>
      </c>
      <c r="F480" s="879" t="s">
        <v>2793</v>
      </c>
      <c r="G480" s="930" t="s">
        <v>2794</v>
      </c>
      <c r="H480" s="1033" t="s">
        <v>2795</v>
      </c>
      <c r="I480" s="936">
        <v>12250000</v>
      </c>
      <c r="J480" s="715" t="s">
        <v>2798</v>
      </c>
      <c r="K480" s="295">
        <v>2016</v>
      </c>
      <c r="L480" s="548">
        <v>42724</v>
      </c>
      <c r="M480" s="882">
        <v>42732</v>
      </c>
      <c r="N480" s="882">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1">
        <f t="shared" si="91"/>
        <v>42883</v>
      </c>
      <c r="U480" s="62">
        <f t="shared" si="92"/>
        <v>12250000</v>
      </c>
      <c r="V480" s="172">
        <f>VLOOKUP(E480,Modificaciones!$B$7:$AU$480,46,0)</f>
        <v>3623000</v>
      </c>
      <c r="W480" s="93">
        <f t="shared" si="90"/>
        <v>8627000</v>
      </c>
      <c r="X480" s="315" t="s">
        <v>2796</v>
      </c>
      <c r="Y480" s="878">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2797</v>
      </c>
      <c r="AG480" s="173" t="s">
        <v>1440</v>
      </c>
      <c r="AH480" s="281" t="s">
        <v>560</v>
      </c>
      <c r="AI480" s="305" t="s">
        <v>1510</v>
      </c>
      <c r="AJ480" s="305" t="s">
        <v>600</v>
      </c>
      <c r="AK480" s="181" t="str">
        <f t="shared" ca="1" si="97"/>
        <v>TERMINO</v>
      </c>
      <c r="AL480" s="310" t="s">
        <v>576</v>
      </c>
      <c r="AM480" s="176" t="s">
        <v>390</v>
      </c>
      <c r="AN480" s="872" t="str">
        <f>IFERROR(VLOOKUP(E480,'liquidaciones '!$B$2:$C$1048576,2,0),"NO")</f>
        <v>LIQUIDADO</v>
      </c>
      <c r="AO480" s="972" t="str">
        <f>IFERROR(VLOOKUP(E480,'liquidaciones '!$B$2:$I$1048576,8,0),"")</f>
        <v>GIOVANNI SUAREZ</v>
      </c>
      <c r="AP480" s="339"/>
      <c r="AQ480" s="177" t="s">
        <v>390</v>
      </c>
      <c r="AR480" s="435" t="s">
        <v>3535</v>
      </c>
      <c r="AS480" s="435"/>
      <c r="AT480" s="992"/>
    </row>
    <row r="481" spans="3:46" ht="30" x14ac:dyDescent="0.25">
      <c r="C481" s="439"/>
      <c r="D481" s="439" t="str">
        <f t="shared" si="98"/>
        <v>2016</v>
      </c>
      <c r="E481" s="880" t="s">
        <v>2799</v>
      </c>
      <c r="F481" s="879" t="s">
        <v>2800</v>
      </c>
      <c r="G481" s="930" t="s">
        <v>2801</v>
      </c>
      <c r="H481" s="1033" t="s">
        <v>2802</v>
      </c>
      <c r="I481" s="936">
        <v>19667800</v>
      </c>
      <c r="J481" s="715" t="s">
        <v>2821</v>
      </c>
      <c r="K481" s="295">
        <v>2016</v>
      </c>
      <c r="L481" s="548">
        <v>42731</v>
      </c>
      <c r="M481" s="882">
        <v>42746</v>
      </c>
      <c r="N481" s="882">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1">
        <f t="shared" si="91"/>
        <v>42805</v>
      </c>
      <c r="U481" s="62">
        <f t="shared" si="92"/>
        <v>19667800</v>
      </c>
      <c r="V481" s="172">
        <f>VLOOKUP(E481,Modificaciones!$B$7:$AU$481,46,0)</f>
        <v>19667800</v>
      </c>
      <c r="W481" s="93">
        <f t="shared" si="90"/>
        <v>0</v>
      </c>
      <c r="X481" s="309" t="s">
        <v>2803</v>
      </c>
      <c r="Y481" s="878">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2" t="str">
        <f>IFERROR(VLOOKUP(E481,'liquidaciones '!$B$2:$C$1048576,2,0),"NO")</f>
        <v>LIQUIDADO</v>
      </c>
      <c r="AO481" s="972" t="str">
        <f>IFERROR(VLOOKUP(E481,'liquidaciones '!$B$2:$I$1048576,8,0),"")</f>
        <v>MANUEL ROJAS</v>
      </c>
      <c r="AP481" s="339"/>
      <c r="AQ481" s="177" t="s">
        <v>390</v>
      </c>
      <c r="AR481" s="177" t="s">
        <v>981</v>
      </c>
      <c r="AS481" s="435"/>
      <c r="AT481" s="992"/>
    </row>
    <row r="482" spans="3:46" ht="30" x14ac:dyDescent="0.25">
      <c r="C482" s="439">
        <v>233</v>
      </c>
      <c r="D482" s="439" t="str">
        <f t="shared" si="98"/>
        <v>2016233</v>
      </c>
      <c r="E482" s="880" t="s">
        <v>2804</v>
      </c>
      <c r="F482" s="879" t="s">
        <v>2805</v>
      </c>
      <c r="G482" s="930">
        <v>830110570</v>
      </c>
      <c r="H482" s="1033" t="s">
        <v>3056</v>
      </c>
      <c r="I482" s="936">
        <v>564700000</v>
      </c>
      <c r="J482" s="715" t="s">
        <v>2820</v>
      </c>
      <c r="K482" s="295">
        <v>2016</v>
      </c>
      <c r="L482" s="548">
        <v>42734</v>
      </c>
      <c r="M482" s="891">
        <v>42747</v>
      </c>
      <c r="N482" s="891">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1">
        <f t="shared" si="91"/>
        <v>42837</v>
      </c>
      <c r="U482" s="62">
        <f t="shared" si="92"/>
        <v>564700000</v>
      </c>
      <c r="V482" s="172">
        <f>VLOOKUP(E482,Modificaciones!$B$7:$AU$482,46,0)</f>
        <v>561585401</v>
      </c>
      <c r="W482" s="93">
        <f t="shared" si="90"/>
        <v>3114599</v>
      </c>
      <c r="X482" s="309" t="s">
        <v>2803</v>
      </c>
      <c r="Y482" s="878">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2819</v>
      </c>
      <c r="AG482" s="173" t="s">
        <v>1440</v>
      </c>
      <c r="AH482" s="281" t="s">
        <v>560</v>
      </c>
      <c r="AI482" s="305" t="s">
        <v>1510</v>
      </c>
      <c r="AJ482" s="305" t="s">
        <v>600</v>
      </c>
      <c r="AK482" s="181" t="str">
        <f t="shared" ca="1" si="97"/>
        <v>TERMINO</v>
      </c>
      <c r="AL482" s="310" t="s">
        <v>995</v>
      </c>
      <c r="AM482" s="339" t="s">
        <v>391</v>
      </c>
      <c r="AN482" s="872" t="str">
        <f>IFERROR(VLOOKUP(E482,'liquidaciones '!$B$2:$C$1048576,2,0),"NO")</f>
        <v>LIQUIDADO</v>
      </c>
      <c r="AO482" s="972" t="str">
        <f>IFERROR(VLOOKUP(E482,'liquidaciones '!$B$2:$I$1048576,8,0),"")</f>
        <v>GIOVANNI SUAREZ</v>
      </c>
      <c r="AP482" s="339"/>
      <c r="AQ482" s="177"/>
      <c r="AR482" s="177" t="s">
        <v>2919</v>
      </c>
      <c r="AS482" s="435"/>
      <c r="AT482" s="992"/>
    </row>
    <row r="483" spans="3:46" ht="67.5" x14ac:dyDescent="0.25">
      <c r="C483" s="893">
        <v>232</v>
      </c>
      <c r="D483" s="893" t="str">
        <f t="shared" si="98"/>
        <v>2016232</v>
      </c>
      <c r="E483" s="894" t="s">
        <v>2833</v>
      </c>
      <c r="F483" s="443" t="s">
        <v>2806</v>
      </c>
      <c r="G483" s="932" t="s">
        <v>2807</v>
      </c>
      <c r="H483" s="1035" t="s">
        <v>3057</v>
      </c>
      <c r="I483" s="938">
        <v>46500000</v>
      </c>
      <c r="J483" s="899" t="s">
        <v>2817</v>
      </c>
      <c r="K483" s="295">
        <v>2016</v>
      </c>
      <c r="L483" s="548">
        <v>42733</v>
      </c>
      <c r="M483" s="900">
        <v>42751</v>
      </c>
      <c r="N483" s="900">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1">
        <f t="shared" si="91"/>
        <v>42871</v>
      </c>
      <c r="U483" s="62">
        <f t="shared" si="92"/>
        <v>46500000</v>
      </c>
      <c r="V483" s="172">
        <f>VLOOKUP(E483,Modificaciones!$B$7:$AU$483,46,0)</f>
        <v>46500000</v>
      </c>
      <c r="W483" s="93">
        <f t="shared" si="90"/>
        <v>0</v>
      </c>
      <c r="X483" s="313" t="s">
        <v>2808</v>
      </c>
      <c r="Y483" s="878">
        <f t="shared" si="93"/>
        <v>1</v>
      </c>
      <c r="Z483" s="42">
        <f t="shared" ca="1" si="94"/>
        <v>1</v>
      </c>
      <c r="AA483" s="43">
        <f t="shared" ca="1" si="95"/>
        <v>0</v>
      </c>
      <c r="AB483" s="202" t="str">
        <f t="shared" ca="1" si="96"/>
        <v/>
      </c>
      <c r="AC483" s="44" t="str">
        <f t="shared" si="99"/>
        <v>SI</v>
      </c>
      <c r="AD483" s="894" t="s">
        <v>1715</v>
      </c>
      <c r="AE483" s="897" t="s">
        <v>1258</v>
      </c>
      <c r="AF483" s="897" t="s">
        <v>2818</v>
      </c>
      <c r="AG483" s="173" t="s">
        <v>1440</v>
      </c>
      <c r="AH483" s="281" t="s">
        <v>560</v>
      </c>
      <c r="AI483" s="305" t="s">
        <v>1510</v>
      </c>
      <c r="AJ483" s="305" t="s">
        <v>600</v>
      </c>
      <c r="AK483" s="181" t="str">
        <f t="shared" ca="1" si="97"/>
        <v>TERMINO</v>
      </c>
      <c r="AL483" s="310" t="s">
        <v>995</v>
      </c>
      <c r="AM483" s="435" t="s">
        <v>390</v>
      </c>
      <c r="AN483" s="872" t="str">
        <f>IFERROR(VLOOKUP(E483,'liquidaciones '!$B$2:$C$1048576,2,0),"NO")</f>
        <v>LIQUIDADO</v>
      </c>
      <c r="AO483" s="972" t="str">
        <f>IFERROR(VLOOKUP(E483,'liquidaciones '!$B$2:$I$1048576,8,0),"")</f>
        <v>GIOVANNI SUAREZ</v>
      </c>
      <c r="AP483" s="435"/>
      <c r="AQ483" s="435" t="s">
        <v>390</v>
      </c>
      <c r="AR483" s="177" t="s">
        <v>2919</v>
      </c>
      <c r="AS483" s="435"/>
      <c r="AT483" s="992"/>
    </row>
    <row r="484" spans="3:46" ht="83.25" customHeight="1" x14ac:dyDescent="0.25">
      <c r="C484" s="893">
        <v>95</v>
      </c>
      <c r="D484" s="893" t="str">
        <f t="shared" si="98"/>
        <v>201695</v>
      </c>
      <c r="E484" s="894" t="s">
        <v>2809</v>
      </c>
      <c r="F484" s="443" t="s">
        <v>152</v>
      </c>
      <c r="G484" s="932" t="s">
        <v>2810</v>
      </c>
      <c r="H484" s="1035" t="s">
        <v>2823</v>
      </c>
      <c r="I484" s="938">
        <v>475686000</v>
      </c>
      <c r="J484" s="899" t="s">
        <v>2822</v>
      </c>
      <c r="K484" s="295">
        <v>2016</v>
      </c>
      <c r="L484" s="548">
        <v>42725</v>
      </c>
      <c r="M484" s="900">
        <v>42752</v>
      </c>
      <c r="N484" s="900">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1">
        <f t="shared" si="91"/>
        <v>42903</v>
      </c>
      <c r="U484" s="62">
        <f t="shared" si="92"/>
        <v>485206000</v>
      </c>
      <c r="V484" s="172">
        <f>VLOOKUP(E484,Modificaciones!$B$7:$AU$484,46,0)</f>
        <v>440949524</v>
      </c>
      <c r="W484" s="93">
        <f t="shared" si="90"/>
        <v>44256476</v>
      </c>
      <c r="X484" s="315" t="s">
        <v>2811</v>
      </c>
      <c r="Y484" s="878">
        <f t="shared" si="93"/>
        <v>0.90878827549535657</v>
      </c>
      <c r="Z484" s="42">
        <f t="shared" ca="1" si="94"/>
        <v>1</v>
      </c>
      <c r="AA484" s="43">
        <f t="shared" ca="1" si="95"/>
        <v>9.1211724504643432E-2</v>
      </c>
      <c r="AB484" s="202" t="str">
        <f t="shared" ca="1" si="96"/>
        <v/>
      </c>
      <c r="AC484" s="44" t="str">
        <f t="shared" si="99"/>
        <v>NO</v>
      </c>
      <c r="AD484" s="894" t="s">
        <v>1715</v>
      </c>
      <c r="AE484" s="897" t="s">
        <v>1258</v>
      </c>
      <c r="AF484" s="897" t="s">
        <v>2824</v>
      </c>
      <c r="AG484" s="173" t="s">
        <v>1440</v>
      </c>
      <c r="AH484" s="281" t="s">
        <v>560</v>
      </c>
      <c r="AI484" s="305" t="s">
        <v>1510</v>
      </c>
      <c r="AJ484" s="305" t="s">
        <v>600</v>
      </c>
      <c r="AK484" s="181" t="str">
        <f t="shared" ca="1" si="97"/>
        <v>TERMINO</v>
      </c>
      <c r="AL484" s="310" t="s">
        <v>995</v>
      </c>
      <c r="AM484" s="435" t="s">
        <v>390</v>
      </c>
      <c r="AN484" s="872" t="str">
        <f>IFERROR(VLOOKUP(E484,'liquidaciones '!$B$2:$C$1048576,2,0),"NO")</f>
        <v>LIQUIDADO</v>
      </c>
      <c r="AO484" s="972">
        <f>IFERROR(VLOOKUP(E484,'liquidaciones '!$B$2:$I$1048576,8,0),"")</f>
        <v>0</v>
      </c>
      <c r="AP484" s="435"/>
      <c r="AQ484" s="177" t="str">
        <f ca="1">IF((TODAY()-T484&lt;900),"SI","NO")</f>
        <v>SI</v>
      </c>
      <c r="AR484" s="177" t="s">
        <v>2919</v>
      </c>
      <c r="AS484" s="435"/>
      <c r="AT484" s="992"/>
    </row>
    <row r="485" spans="3:46" ht="67.5" x14ac:dyDescent="0.25">
      <c r="C485" s="893">
        <v>285</v>
      </c>
      <c r="D485" s="893" t="str">
        <f t="shared" si="98"/>
        <v>2016285</v>
      </c>
      <c r="E485" s="894" t="s">
        <v>2812</v>
      </c>
      <c r="F485" s="443" t="s">
        <v>2813</v>
      </c>
      <c r="G485" s="932" t="s">
        <v>2814</v>
      </c>
      <c r="H485" s="1035" t="s">
        <v>2815</v>
      </c>
      <c r="I485" s="938">
        <v>108273000</v>
      </c>
      <c r="J485" s="899" t="s">
        <v>2825</v>
      </c>
      <c r="K485" s="295">
        <v>2016</v>
      </c>
      <c r="L485" s="548">
        <v>42733</v>
      </c>
      <c r="M485" s="900">
        <v>42746</v>
      </c>
      <c r="N485" s="900">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1">
        <f t="shared" si="91"/>
        <v>42930</v>
      </c>
      <c r="U485" s="62">
        <f t="shared" si="92"/>
        <v>112611465</v>
      </c>
      <c r="V485" s="172">
        <f>VLOOKUP(E485,Modificaciones!$B$7:$AU$485,46,0)</f>
        <v>112611465</v>
      </c>
      <c r="W485" s="93">
        <f t="shared" si="90"/>
        <v>0</v>
      </c>
      <c r="X485" s="313" t="s">
        <v>2816</v>
      </c>
      <c r="Y485" s="878">
        <f t="shared" si="93"/>
        <v>1</v>
      </c>
      <c r="Z485" s="42">
        <f t="shared" ca="1" si="94"/>
        <v>1</v>
      </c>
      <c r="AA485" s="43">
        <f t="shared" ca="1" si="95"/>
        <v>0</v>
      </c>
      <c r="AB485" s="202" t="str">
        <f t="shared" ca="1" si="96"/>
        <v/>
      </c>
      <c r="AC485" s="44" t="str">
        <f t="shared" si="99"/>
        <v>SI</v>
      </c>
      <c r="AD485" s="762" t="s">
        <v>1713</v>
      </c>
      <c r="AE485" s="897" t="s">
        <v>1257</v>
      </c>
      <c r="AF485" s="897" t="s">
        <v>2826</v>
      </c>
      <c r="AG485" s="894"/>
      <c r="AH485" s="894"/>
      <c r="AI485" s="894"/>
      <c r="AJ485" s="305" t="s">
        <v>600</v>
      </c>
      <c r="AK485" s="181" t="str">
        <f t="shared" ca="1" si="97"/>
        <v>TERMINO</v>
      </c>
      <c r="AL485" s="310" t="s">
        <v>574</v>
      </c>
      <c r="AM485" s="435" t="s">
        <v>390</v>
      </c>
      <c r="AN485" s="872" t="str">
        <f>IFERROR(VLOOKUP(E485,'liquidaciones '!$B$2:$C$1048576,2,0),"NO")</f>
        <v>NO</v>
      </c>
      <c r="AO485" s="972" t="str">
        <f>IFERROR(VLOOKUP(E485,'liquidaciones '!$B$2:$I$1048576,8,0),"")</f>
        <v/>
      </c>
      <c r="AP485" s="435"/>
      <c r="AQ485" s="435" t="s">
        <v>390</v>
      </c>
      <c r="AR485" s="177" t="s">
        <v>2991</v>
      </c>
      <c r="AS485" s="435"/>
      <c r="AT485" s="992"/>
    </row>
    <row r="486" spans="3:46" ht="45" x14ac:dyDescent="0.25">
      <c r="C486" s="893"/>
      <c r="D486" s="893"/>
      <c r="E486" s="894" t="s">
        <v>2827</v>
      </c>
      <c r="F486" s="443" t="s">
        <v>2828</v>
      </c>
      <c r="G486" s="932" t="s">
        <v>2829</v>
      </c>
      <c r="H486" s="1035" t="s">
        <v>2830</v>
      </c>
      <c r="I486" s="938">
        <v>700000</v>
      </c>
      <c r="J486" s="899" t="s">
        <v>2832</v>
      </c>
      <c r="K486" s="295">
        <v>2016</v>
      </c>
      <c r="L486" s="548">
        <v>42692</v>
      </c>
      <c r="M486" s="896">
        <v>42761</v>
      </c>
      <c r="N486" s="896">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1">
        <f t="shared" si="91"/>
        <v>43004</v>
      </c>
      <c r="U486" s="62">
        <f t="shared" si="92"/>
        <v>700000</v>
      </c>
      <c r="V486" s="172">
        <f>VLOOKUP(E486,Modificaciones!$B$7:$AU$486,46,0)</f>
        <v>0</v>
      </c>
      <c r="W486" s="93">
        <f t="shared" si="90"/>
        <v>700000</v>
      </c>
      <c r="X486" s="309" t="s">
        <v>2803</v>
      </c>
      <c r="Y486" s="878">
        <f t="shared" si="93"/>
        <v>0</v>
      </c>
      <c r="Z486" s="42">
        <f t="shared" ca="1" si="94"/>
        <v>1</v>
      </c>
      <c r="AA486" s="43">
        <f t="shared" ca="1" si="95"/>
        <v>1</v>
      </c>
      <c r="AB486" s="202" t="str">
        <f t="shared" ca="1" si="96"/>
        <v/>
      </c>
      <c r="AC486" s="44" t="str">
        <f t="shared" si="99"/>
        <v>NO</v>
      </c>
      <c r="AD486" s="894"/>
      <c r="AE486" s="173" t="s">
        <v>1257</v>
      </c>
      <c r="AF486" s="281" t="s">
        <v>1505</v>
      </c>
      <c r="AG486" s="173" t="s">
        <v>1443</v>
      </c>
      <c r="AH486" s="281" t="s">
        <v>560</v>
      </c>
      <c r="AI486" s="305"/>
      <c r="AJ486" s="305" t="s">
        <v>600</v>
      </c>
      <c r="AK486" s="181" t="str">
        <f t="shared" ca="1" si="97"/>
        <v>TERMINO</v>
      </c>
      <c r="AL486" s="443"/>
      <c r="AM486" s="435" t="s">
        <v>390</v>
      </c>
      <c r="AN486" s="872" t="str">
        <f>IFERROR(VLOOKUP(E486,'liquidaciones '!$B$2:$C$1048576,2,0),"NO")</f>
        <v>LIQUIDADO</v>
      </c>
      <c r="AO486" s="972">
        <f>IFERROR(VLOOKUP(E486,'liquidaciones '!$B$2:$I$1048576,8,0),"")</f>
        <v>0</v>
      </c>
      <c r="AP486" s="435"/>
      <c r="AQ486" s="435" t="s">
        <v>390</v>
      </c>
      <c r="AR486" s="177" t="s">
        <v>2977</v>
      </c>
      <c r="AS486" s="435"/>
      <c r="AT486" s="992"/>
    </row>
    <row r="487" spans="3:46" ht="36" customHeight="1" x14ac:dyDescent="0.25">
      <c r="C487" s="906">
        <v>183</v>
      </c>
      <c r="D487" s="893"/>
      <c r="E487" s="894" t="s">
        <v>2831</v>
      </c>
      <c r="F487" s="443" t="s">
        <v>2421</v>
      </c>
      <c r="G487" s="930">
        <v>900459737</v>
      </c>
      <c r="H487" s="1033" t="s">
        <v>402</v>
      </c>
      <c r="I487" s="938">
        <v>433000000</v>
      </c>
      <c r="J487" s="899" t="s">
        <v>2946</v>
      </c>
      <c r="K487" s="295">
        <v>2017</v>
      </c>
      <c r="L487" s="548">
        <v>42754</v>
      </c>
      <c r="M487" s="896">
        <v>42767</v>
      </c>
      <c r="N487" s="896">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1">
        <f t="shared" si="91"/>
        <v>43120</v>
      </c>
      <c r="U487" s="62">
        <f t="shared" si="92"/>
        <v>433000000</v>
      </c>
      <c r="V487" s="172">
        <f>VLOOKUP(E487,Modificaciones!$B$7:$AU$487,46,0)</f>
        <v>427915544</v>
      </c>
      <c r="W487" s="93">
        <f t="shared" si="90"/>
        <v>5084456</v>
      </c>
      <c r="X487" s="313"/>
      <c r="Y487" s="878">
        <f t="shared" si="93"/>
        <v>0.98825760739030022</v>
      </c>
      <c r="Z487" s="42">
        <f t="shared" ca="1" si="94"/>
        <v>1</v>
      </c>
      <c r="AA487" s="43">
        <f t="shared" ca="1" si="95"/>
        <v>1.1742392609699781E-2</v>
      </c>
      <c r="AB487" s="202" t="str">
        <f t="shared" ca="1" si="96"/>
        <v/>
      </c>
      <c r="AC487" s="44" t="str">
        <f t="shared" si="99"/>
        <v>NO</v>
      </c>
      <c r="AD487" s="894"/>
      <c r="AE487" s="173" t="s">
        <v>1257</v>
      </c>
      <c r="AF487" s="281" t="s">
        <v>1140</v>
      </c>
      <c r="AG487" s="173"/>
      <c r="AH487" s="281" t="s">
        <v>560</v>
      </c>
      <c r="AI487" s="305" t="s">
        <v>1320</v>
      </c>
      <c r="AJ487" s="305" t="s">
        <v>600</v>
      </c>
      <c r="AK487" s="181" t="str">
        <f t="shared" ca="1" si="97"/>
        <v>TERMINO</v>
      </c>
      <c r="AL487" s="443"/>
      <c r="AM487" s="435"/>
      <c r="AN487" s="872" t="str">
        <f>IFERROR(VLOOKUP(E487,'liquidaciones '!$B$2:$C$1048576,2,0),"NO")</f>
        <v>EN TRÁMITE</v>
      </c>
      <c r="AO487" s="972">
        <f>IFERROR(VLOOKUP(E487,'liquidaciones '!$B$2:$I$1048576,8,0),"")</f>
        <v>0</v>
      </c>
      <c r="AP487" s="435"/>
      <c r="AQ487" s="177" t="s">
        <v>390</v>
      </c>
      <c r="AR487" s="435" t="s">
        <v>1511</v>
      </c>
      <c r="AS487" s="435"/>
      <c r="AT487" s="995" t="s">
        <v>3968</v>
      </c>
    </row>
    <row r="488" spans="3:46" ht="84" customHeight="1" x14ac:dyDescent="0.25">
      <c r="C488" s="893">
        <v>181</v>
      </c>
      <c r="D488" s="893"/>
      <c r="E488" s="894" t="s">
        <v>2835</v>
      </c>
      <c r="F488" s="443" t="s">
        <v>2439</v>
      </c>
      <c r="G488" s="930">
        <v>900475780</v>
      </c>
      <c r="H488" s="1033" t="s">
        <v>1641</v>
      </c>
      <c r="I488" s="938">
        <v>4108908000</v>
      </c>
      <c r="J488" s="899" t="s">
        <v>2835</v>
      </c>
      <c r="K488" s="295">
        <v>2017</v>
      </c>
      <c r="L488" s="548">
        <v>42748</v>
      </c>
      <c r="M488" s="896">
        <v>42751</v>
      </c>
      <c r="N488" s="896">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1">
        <f t="shared" si="91"/>
        <v>43100</v>
      </c>
      <c r="U488" s="62">
        <f t="shared" si="92"/>
        <v>4375027000</v>
      </c>
      <c r="V488" s="172">
        <f>VLOOKUP(E488,Modificaciones!$B$7:$AU$488,46,0)</f>
        <v>4108908000</v>
      </c>
      <c r="W488" s="93">
        <f t="shared" si="90"/>
        <v>266119000</v>
      </c>
      <c r="X488" s="315" t="s">
        <v>2834</v>
      </c>
      <c r="Y488" s="878">
        <f t="shared" si="93"/>
        <v>0.93917317538840328</v>
      </c>
      <c r="Z488" s="42">
        <f t="shared" ca="1" si="94"/>
        <v>1</v>
      </c>
      <c r="AA488" s="43">
        <f t="shared" ca="1" si="95"/>
        <v>6.0826824611596719E-2</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2" t="str">
        <f>IFERROR(VLOOKUP(E488,'liquidaciones '!$B$2:$C$1048576,2,0),"NO")</f>
        <v>LIQUIDADO</v>
      </c>
      <c r="AO488" s="972">
        <f>IFERROR(VLOOKUP(E488,'liquidaciones '!$B$2:$I$1048576,8,0),"")</f>
        <v>0</v>
      </c>
      <c r="AP488" s="435"/>
      <c r="AQ488" s="177" t="s">
        <v>390</v>
      </c>
      <c r="AR488" s="177" t="s">
        <v>2990</v>
      </c>
      <c r="AS488" s="435"/>
      <c r="AT488" s="995" t="s">
        <v>3968</v>
      </c>
    </row>
    <row r="489" spans="3:46" ht="67.5" x14ac:dyDescent="0.25">
      <c r="C489" s="893">
        <v>177</v>
      </c>
      <c r="D489" s="893"/>
      <c r="E489" s="894" t="s">
        <v>2836</v>
      </c>
      <c r="F489" s="443" t="s">
        <v>2837</v>
      </c>
      <c r="G489" s="932" t="s">
        <v>2838</v>
      </c>
      <c r="H489" s="1035" t="s">
        <v>2839</v>
      </c>
      <c r="I489" s="938">
        <v>400000000</v>
      </c>
      <c r="J489" s="899" t="s">
        <v>2843</v>
      </c>
      <c r="K489" s="295">
        <v>2017</v>
      </c>
      <c r="L489" s="548">
        <v>42746</v>
      </c>
      <c r="M489" s="896">
        <v>42773</v>
      </c>
      <c r="N489" s="896">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1">
        <f t="shared" si="91"/>
        <v>43197</v>
      </c>
      <c r="U489" s="62">
        <f t="shared" si="92"/>
        <v>400000000</v>
      </c>
      <c r="V489" s="172">
        <f>VLOOKUP(E489,Modificaciones!$B$7:$AU$489,46,0)</f>
        <v>399991711</v>
      </c>
      <c r="W489" s="93">
        <f t="shared" si="90"/>
        <v>8289</v>
      </c>
      <c r="X489" s="309" t="s">
        <v>2840</v>
      </c>
      <c r="Y489" s="878">
        <f t="shared" si="93"/>
        <v>0.99997927750000004</v>
      </c>
      <c r="Z489" s="42">
        <f t="shared" ca="1" si="94"/>
        <v>1</v>
      </c>
      <c r="AA489" s="43">
        <f t="shared" ca="1" si="95"/>
        <v>2.0722499999958899E-5</v>
      </c>
      <c r="AB489" s="202" t="str">
        <f t="shared" ca="1" si="96"/>
        <v/>
      </c>
      <c r="AC489" s="44" t="str">
        <f t="shared" si="99"/>
        <v>SI</v>
      </c>
      <c r="AD489" s="894"/>
      <c r="AE489" s="173" t="s">
        <v>1257</v>
      </c>
      <c r="AF489" s="281" t="s">
        <v>1534</v>
      </c>
      <c r="AG489" s="173" t="s">
        <v>1431</v>
      </c>
      <c r="AH489" s="281" t="s">
        <v>564</v>
      </c>
      <c r="AI489" s="305"/>
      <c r="AJ489" s="305" t="s">
        <v>600</v>
      </c>
      <c r="AK489" s="181" t="str">
        <f t="shared" ca="1" si="97"/>
        <v>TERMINO</v>
      </c>
      <c r="AL489" s="310" t="s">
        <v>575</v>
      </c>
      <c r="AM489" s="435" t="s">
        <v>390</v>
      </c>
      <c r="AN489" s="872" t="str">
        <f>IFERROR(VLOOKUP(E489,'liquidaciones '!$B$2:$C$1048576,2,0),"NO")</f>
        <v>NO</v>
      </c>
      <c r="AO489" s="972" t="str">
        <f>IFERROR(VLOOKUP(E489,'liquidaciones '!$B$2:$I$1048576,8,0),"")</f>
        <v/>
      </c>
      <c r="AP489" s="435"/>
      <c r="AQ489" s="177" t="s">
        <v>390</v>
      </c>
      <c r="AR489" s="177" t="s">
        <v>2991</v>
      </c>
      <c r="AS489" s="435"/>
      <c r="AT489" s="995" t="s">
        <v>3949</v>
      </c>
    </row>
    <row r="490" spans="3:46" ht="45" x14ac:dyDescent="0.25">
      <c r="C490" s="893">
        <v>147</v>
      </c>
      <c r="D490" s="893"/>
      <c r="E490" s="894" t="s">
        <v>2841</v>
      </c>
      <c r="F490" s="443" t="s">
        <v>2034</v>
      </c>
      <c r="G490" s="930">
        <v>79246871</v>
      </c>
      <c r="H490" s="1035" t="s">
        <v>2842</v>
      </c>
      <c r="I490" s="938">
        <v>3860000</v>
      </c>
      <c r="J490" s="899" t="s">
        <v>2841</v>
      </c>
      <c r="K490" s="295">
        <v>2017</v>
      </c>
      <c r="L490" s="548">
        <v>42772</v>
      </c>
      <c r="M490" s="896">
        <v>42772</v>
      </c>
      <c r="N490" s="896">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1">
        <f t="shared" si="91"/>
        <v>42800</v>
      </c>
      <c r="U490" s="62">
        <f t="shared" si="92"/>
        <v>3860000</v>
      </c>
      <c r="V490" s="172">
        <f>VLOOKUP(E490,Modificaciones!$B$7:$AU$490,46,0)</f>
        <v>3860000</v>
      </c>
      <c r="W490" s="93">
        <f t="shared" si="90"/>
        <v>0</v>
      </c>
      <c r="X490" s="309" t="s">
        <v>2732</v>
      </c>
      <c r="Y490" s="878">
        <f t="shared" si="93"/>
        <v>1</v>
      </c>
      <c r="Z490" s="42">
        <f t="shared" ca="1" si="94"/>
        <v>1</v>
      </c>
      <c r="AA490" s="43">
        <f t="shared" ca="1" si="95"/>
        <v>0</v>
      </c>
      <c r="AB490" s="202" t="str">
        <f t="shared" ca="1" si="96"/>
        <v/>
      </c>
      <c r="AC490" s="44" t="str">
        <f t="shared" si="99"/>
        <v>SI</v>
      </c>
      <c r="AD490" s="762" t="s">
        <v>1714</v>
      </c>
      <c r="AE490" s="173" t="s">
        <v>1257</v>
      </c>
      <c r="AF490" s="281" t="s">
        <v>2063</v>
      </c>
      <c r="AG490" s="173" t="s">
        <v>1438</v>
      </c>
      <c r="AH490" s="281" t="s">
        <v>561</v>
      </c>
      <c r="AI490" s="305"/>
      <c r="AJ490" s="305" t="s">
        <v>600</v>
      </c>
      <c r="AK490" s="181" t="str">
        <f t="shared" ca="1" si="97"/>
        <v>TERMINO</v>
      </c>
      <c r="AL490" s="310" t="s">
        <v>582</v>
      </c>
      <c r="AM490" s="435" t="s">
        <v>391</v>
      </c>
      <c r="AN490" s="872" t="str">
        <f>IFERROR(VLOOKUP(E490,'liquidaciones '!$B$2:$C$1048576,2,0),"NO")</f>
        <v>LIQUIDADO</v>
      </c>
      <c r="AO490" s="972" t="str">
        <f>IFERROR(VLOOKUP(E490,'liquidaciones '!$B$2:$I$1048576,8,0),"")</f>
        <v>JAVIER QUINTERO</v>
      </c>
      <c r="AP490" s="435"/>
      <c r="AQ490" s="177" t="s">
        <v>390</v>
      </c>
      <c r="AR490" s="177" t="s">
        <v>2605</v>
      </c>
      <c r="AS490" s="435"/>
      <c r="AT490" s="995"/>
    </row>
    <row r="491" spans="3:46" ht="45" x14ac:dyDescent="0.25">
      <c r="C491" s="893">
        <v>141</v>
      </c>
      <c r="D491" s="893"/>
      <c r="E491" s="894" t="s">
        <v>2844</v>
      </c>
      <c r="F491" s="443" t="s">
        <v>2466</v>
      </c>
      <c r="G491" s="932">
        <v>52963023</v>
      </c>
      <c r="H491" s="1035" t="s">
        <v>3058</v>
      </c>
      <c r="I491" s="938">
        <v>5700000</v>
      </c>
      <c r="J491" s="899" t="s">
        <v>2844</v>
      </c>
      <c r="K491" s="295">
        <v>2017</v>
      </c>
      <c r="L491" s="548">
        <v>42776</v>
      </c>
      <c r="M491" s="896">
        <v>42781</v>
      </c>
      <c r="N491" s="896">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1">
        <f t="shared" si="91"/>
        <v>42809</v>
      </c>
      <c r="U491" s="62">
        <f t="shared" si="92"/>
        <v>5700000</v>
      </c>
      <c r="V491" s="172">
        <f>VLOOKUP(E491,Modificaciones!$B$7:$AU$491,46,0)</f>
        <v>5700000</v>
      </c>
      <c r="W491" s="93">
        <f t="shared" si="90"/>
        <v>0</v>
      </c>
      <c r="X491" s="309" t="s">
        <v>2741</v>
      </c>
      <c r="Y491" s="878">
        <f t="shared" si="93"/>
        <v>1</v>
      </c>
      <c r="Z491" s="42">
        <f t="shared" ca="1" si="94"/>
        <v>1</v>
      </c>
      <c r="AA491" s="43">
        <f t="shared" ca="1" si="95"/>
        <v>0</v>
      </c>
      <c r="AB491" s="202" t="str">
        <f t="shared" ca="1" si="96"/>
        <v/>
      </c>
      <c r="AC491" s="44" t="str">
        <f t="shared" si="99"/>
        <v>SI</v>
      </c>
      <c r="AD491" s="762" t="s">
        <v>1714</v>
      </c>
      <c r="AE491" s="173" t="s">
        <v>1257</v>
      </c>
      <c r="AF491" s="281" t="s">
        <v>2467</v>
      </c>
      <c r="AG491" s="173" t="s">
        <v>1438</v>
      </c>
      <c r="AH491" s="281" t="s">
        <v>561</v>
      </c>
      <c r="AI491" s="894"/>
      <c r="AJ491" s="305" t="s">
        <v>600</v>
      </c>
      <c r="AK491" s="181" t="str">
        <f t="shared" ca="1" si="97"/>
        <v>TERMINO</v>
      </c>
      <c r="AL491" s="181" t="s">
        <v>582</v>
      </c>
      <c r="AM491" s="435" t="s">
        <v>391</v>
      </c>
      <c r="AN491" s="872" t="str">
        <f>IFERROR(VLOOKUP(E491,'liquidaciones '!$B$2:$C$1048576,2,0),"NO")</f>
        <v>LIQUIDADO</v>
      </c>
      <c r="AO491" s="972" t="str">
        <f>IFERROR(VLOOKUP(E491,'liquidaciones '!$B$2:$I$1048576,8,0),"")</f>
        <v>JAVIER QUINTERO</v>
      </c>
      <c r="AP491" s="435"/>
      <c r="AQ491" s="177" t="s">
        <v>390</v>
      </c>
      <c r="AR491" s="177" t="s">
        <v>2605</v>
      </c>
      <c r="AS491" s="435"/>
      <c r="AT491" s="995"/>
    </row>
    <row r="492" spans="3:46" ht="45" x14ac:dyDescent="0.25">
      <c r="C492" s="893">
        <v>81</v>
      </c>
      <c r="D492" s="893"/>
      <c r="E492" s="894" t="s">
        <v>2846</v>
      </c>
      <c r="F492" s="443" t="s">
        <v>2847</v>
      </c>
      <c r="G492" s="933" t="s">
        <v>2388</v>
      </c>
      <c r="H492" s="1035" t="s">
        <v>2848</v>
      </c>
      <c r="I492" s="938">
        <v>65851149</v>
      </c>
      <c r="J492" s="899" t="s">
        <v>2850</v>
      </c>
      <c r="K492" s="295">
        <v>2017</v>
      </c>
      <c r="L492" s="548">
        <v>42795</v>
      </c>
      <c r="M492" s="896">
        <v>42815</v>
      </c>
      <c r="N492" s="896">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1">
        <f t="shared" si="91"/>
        <v>43180</v>
      </c>
      <c r="U492" s="62">
        <f t="shared" si="92"/>
        <v>65851149</v>
      </c>
      <c r="V492" s="172">
        <f>VLOOKUP(E492,Modificaciones!$B$7:$AU$492,46,0)</f>
        <v>65851149</v>
      </c>
      <c r="W492" s="93">
        <f t="shared" si="90"/>
        <v>0</v>
      </c>
      <c r="X492" s="313" t="s">
        <v>2849</v>
      </c>
      <c r="Y492" s="878">
        <f t="shared" si="93"/>
        <v>1</v>
      </c>
      <c r="Z492" s="42">
        <f t="shared" ca="1" si="94"/>
        <v>1</v>
      </c>
      <c r="AA492" s="43">
        <f t="shared" ca="1" si="95"/>
        <v>0</v>
      </c>
      <c r="AB492" s="202" t="str">
        <f t="shared" ca="1" si="96"/>
        <v/>
      </c>
      <c r="AC492" s="44" t="str">
        <f t="shared" si="99"/>
        <v>SI</v>
      </c>
      <c r="AD492" s="894"/>
      <c r="AE492" s="173" t="s">
        <v>1258</v>
      </c>
      <c r="AF492" s="281" t="s">
        <v>1468</v>
      </c>
      <c r="AG492" s="173" t="s">
        <v>1440</v>
      </c>
      <c r="AH492" s="281" t="s">
        <v>560</v>
      </c>
      <c r="AI492" s="305" t="s">
        <v>1510</v>
      </c>
      <c r="AJ492" s="305" t="s">
        <v>3821</v>
      </c>
      <c r="AK492" s="181" t="str">
        <f t="shared" ca="1" si="97"/>
        <v>TERMINO</v>
      </c>
      <c r="AL492" s="310" t="s">
        <v>576</v>
      </c>
      <c r="AM492" s="176" t="s">
        <v>390</v>
      </c>
      <c r="AN492" s="872" t="str">
        <f>IFERROR(VLOOKUP(E492,'liquidaciones '!$B$2:$C$1048576,2,0),"NO")</f>
        <v>LIQUIDADO</v>
      </c>
      <c r="AO492" s="972">
        <f>IFERROR(VLOOKUP(E492,'liquidaciones '!$B$2:$I$1048576,8,0),"")</f>
        <v>0</v>
      </c>
      <c r="AP492" s="435"/>
      <c r="AQ492" s="177" t="s">
        <v>390</v>
      </c>
      <c r="AR492" s="435" t="s">
        <v>3535</v>
      </c>
      <c r="AS492" s="435" t="s">
        <v>3804</v>
      </c>
      <c r="AT492" s="995" t="s">
        <v>560</v>
      </c>
    </row>
    <row r="493" spans="3:46" ht="33.75" x14ac:dyDescent="0.25">
      <c r="C493" s="893">
        <v>84</v>
      </c>
      <c r="D493" s="893"/>
      <c r="E493" s="894" t="s">
        <v>2851</v>
      </c>
      <c r="F493" s="443" t="s">
        <v>1339</v>
      </c>
      <c r="G493" s="933" t="s">
        <v>2729</v>
      </c>
      <c r="H493" s="1035" t="s">
        <v>3059</v>
      </c>
      <c r="I493" s="938">
        <v>195049000</v>
      </c>
      <c r="J493" s="899" t="s">
        <v>2851</v>
      </c>
      <c r="K493" s="295">
        <v>2017</v>
      </c>
      <c r="L493" s="548">
        <v>42800</v>
      </c>
      <c r="M493" s="896">
        <v>42801</v>
      </c>
      <c r="N493" s="896">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1">
        <f t="shared" si="91"/>
        <v>43046</v>
      </c>
      <c r="U493" s="62">
        <f t="shared" si="92"/>
        <v>195049000</v>
      </c>
      <c r="V493" s="172">
        <f>VLOOKUP(E493,Modificaciones!$B$7:$AU$493,46,0)</f>
        <v>195049000</v>
      </c>
      <c r="W493" s="93">
        <f t="shared" si="90"/>
        <v>0</v>
      </c>
      <c r="X493" s="309" t="s">
        <v>2852</v>
      </c>
      <c r="Y493" s="878">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3821</v>
      </c>
      <c r="AK493" s="181" t="str">
        <f t="shared" ca="1" si="97"/>
        <v>TERMINO</v>
      </c>
      <c r="AL493" s="310" t="s">
        <v>582</v>
      </c>
      <c r="AM493" s="176" t="s">
        <v>390</v>
      </c>
      <c r="AN493" s="872" t="str">
        <f>IFERROR(VLOOKUP(E493,'liquidaciones '!$B$2:$C$1048576,2,0),"NO")</f>
        <v>LIQUIDADO</v>
      </c>
      <c r="AO493" s="972">
        <f>IFERROR(VLOOKUP(E493,'liquidaciones '!$B$2:$I$1048576,8,0),"")</f>
        <v>0</v>
      </c>
      <c r="AP493" s="339"/>
      <c r="AQ493" s="177" t="s">
        <v>390</v>
      </c>
      <c r="AR493" s="435" t="s">
        <v>3535</v>
      </c>
      <c r="AS493" s="435" t="s">
        <v>3804</v>
      </c>
      <c r="AT493" s="995" t="s">
        <v>560</v>
      </c>
    </row>
    <row r="494" spans="3:46" ht="33.75" x14ac:dyDescent="0.25">
      <c r="C494" s="893">
        <v>186</v>
      </c>
      <c r="D494" s="893"/>
      <c r="E494" s="894" t="s">
        <v>2855</v>
      </c>
      <c r="F494" s="443" t="s">
        <v>1909</v>
      </c>
      <c r="G494" s="932">
        <v>860019063</v>
      </c>
      <c r="H494" s="1035" t="s">
        <v>2856</v>
      </c>
      <c r="I494" s="938">
        <v>28800000</v>
      </c>
      <c r="J494" s="895"/>
      <c r="K494" s="295">
        <v>2017</v>
      </c>
      <c r="L494" s="548">
        <v>42803</v>
      </c>
      <c r="M494" s="896">
        <v>42810</v>
      </c>
      <c r="N494" s="896">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1">
        <f t="shared" si="91"/>
        <v>43280</v>
      </c>
      <c r="U494" s="62">
        <f t="shared" si="92"/>
        <v>28800000</v>
      </c>
      <c r="V494" s="172">
        <f>VLOOKUP(E494,Modificaciones!$B$7:$AU$494,46,0)</f>
        <v>19084100</v>
      </c>
      <c r="W494" s="93">
        <f t="shared" si="90"/>
        <v>9715900</v>
      </c>
      <c r="X494" s="309" t="s">
        <v>1912</v>
      </c>
      <c r="Y494" s="878">
        <f t="shared" si="93"/>
        <v>0.66264236111111108</v>
      </c>
      <c r="Z494" s="42">
        <f t="shared" ca="1" si="94"/>
        <v>1</v>
      </c>
      <c r="AA494" s="43">
        <f t="shared" ca="1" si="95"/>
        <v>0.33735763888888892</v>
      </c>
      <c r="AB494" s="202" t="str">
        <f t="shared" ca="1" si="96"/>
        <v/>
      </c>
      <c r="AC494" s="44" t="str">
        <f t="shared" si="99"/>
        <v>NO</v>
      </c>
      <c r="AD494" s="435" t="s">
        <v>1713</v>
      </c>
      <c r="AE494" s="897" t="s">
        <v>1257</v>
      </c>
      <c r="AF494" s="173" t="s">
        <v>2522</v>
      </c>
      <c r="AG494" s="173" t="s">
        <v>1443</v>
      </c>
      <c r="AH494" s="281" t="s">
        <v>560</v>
      </c>
      <c r="AI494" s="174" t="s">
        <v>1320</v>
      </c>
      <c r="AJ494" s="305" t="s">
        <v>2845</v>
      </c>
      <c r="AK494" s="181" t="str">
        <f t="shared" ca="1" si="97"/>
        <v>TERMINO</v>
      </c>
      <c r="AL494" s="310" t="s">
        <v>582</v>
      </c>
      <c r="AM494" s="435" t="s">
        <v>390</v>
      </c>
      <c r="AN494" s="872" t="str">
        <f>IFERROR(VLOOKUP(E494,'liquidaciones '!$B$2:$C$1048576,2,0),"NO")</f>
        <v>NO</v>
      </c>
      <c r="AO494" s="972" t="str">
        <f>IFERROR(VLOOKUP(E494,'liquidaciones '!$B$2:$I$1048576,8,0),"")</f>
        <v/>
      </c>
      <c r="AP494" s="435"/>
      <c r="AQ494" s="177" t="s">
        <v>390</v>
      </c>
      <c r="AR494" s="435" t="s">
        <v>1511</v>
      </c>
      <c r="AS494" s="435" t="s">
        <v>3806</v>
      </c>
      <c r="AT494" s="995" t="s">
        <v>3968</v>
      </c>
    </row>
    <row r="495" spans="3:46" ht="22.5" x14ac:dyDescent="0.25">
      <c r="C495" s="893">
        <v>167</v>
      </c>
      <c r="D495" s="893"/>
      <c r="E495" s="894" t="s">
        <v>2859</v>
      </c>
      <c r="F495" s="443" t="s">
        <v>86</v>
      </c>
      <c r="G495" s="932">
        <v>860001022</v>
      </c>
      <c r="H495" s="1035" t="s">
        <v>2860</v>
      </c>
      <c r="I495" s="938">
        <v>1317000</v>
      </c>
      <c r="J495" s="899" t="s">
        <v>2859</v>
      </c>
      <c r="K495" s="295">
        <v>2017</v>
      </c>
      <c r="L495" s="548">
        <v>42816</v>
      </c>
      <c r="M495" s="896">
        <v>42817</v>
      </c>
      <c r="N495" s="896">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1">
        <f t="shared" si="91"/>
        <v>43182</v>
      </c>
      <c r="U495" s="62">
        <f t="shared" si="92"/>
        <v>1317000</v>
      </c>
      <c r="V495" s="172">
        <f>VLOOKUP(E495,Modificaciones!$B$7:$AU$495,46,0)</f>
        <v>1317000</v>
      </c>
      <c r="W495" s="93">
        <f t="shared" si="90"/>
        <v>0</v>
      </c>
      <c r="X495" s="309" t="s">
        <v>2861</v>
      </c>
      <c r="Y495" s="878">
        <f t="shared" si="93"/>
        <v>1</v>
      </c>
      <c r="Z495" s="42">
        <f t="shared" ca="1" si="94"/>
        <v>1</v>
      </c>
      <c r="AA495" s="43">
        <f t="shared" ca="1" si="95"/>
        <v>0</v>
      </c>
      <c r="AB495" s="202" t="str">
        <f t="shared" ca="1" si="96"/>
        <v/>
      </c>
      <c r="AC495" s="44" t="str">
        <f t="shared" si="99"/>
        <v>SI</v>
      </c>
      <c r="AD495" s="435" t="s">
        <v>1713</v>
      </c>
      <c r="AE495" s="897" t="s">
        <v>1257</v>
      </c>
      <c r="AF495" s="897" t="s">
        <v>1126</v>
      </c>
      <c r="AG495" s="894"/>
      <c r="AH495" s="580" t="s">
        <v>564</v>
      </c>
      <c r="AI495" s="894"/>
      <c r="AJ495" s="305" t="s">
        <v>2845</v>
      </c>
      <c r="AK495" s="181" t="str">
        <f t="shared" ca="1" si="97"/>
        <v>TERMINO</v>
      </c>
      <c r="AL495" s="920" t="s">
        <v>582</v>
      </c>
      <c r="AM495" s="180" t="s">
        <v>390</v>
      </c>
      <c r="AN495" s="872" t="str">
        <f>IFERROR(VLOOKUP(E495,'liquidaciones '!$B$2:$C$1048576,2,0),"NO")</f>
        <v>LIQUIDADO</v>
      </c>
      <c r="AO495" s="972">
        <f>IFERROR(VLOOKUP(E495,'liquidaciones '!$B$2:$I$1048576,8,0),"")</f>
        <v>0</v>
      </c>
      <c r="AP495" s="435"/>
      <c r="AQ495" s="435" t="s">
        <v>390</v>
      </c>
      <c r="AR495" s="177" t="s">
        <v>2977</v>
      </c>
      <c r="AS495" s="435"/>
      <c r="AT495" s="995" t="s">
        <v>3949</v>
      </c>
    </row>
    <row r="496" spans="3:46" ht="33.75" x14ac:dyDescent="0.25">
      <c r="C496" s="922">
        <v>182</v>
      </c>
      <c r="D496" s="922"/>
      <c r="E496" s="923" t="s">
        <v>2868</v>
      </c>
      <c r="F496" s="924" t="s">
        <v>2862</v>
      </c>
      <c r="G496" s="933" t="s">
        <v>2863</v>
      </c>
      <c r="H496" s="1035" t="s">
        <v>2864</v>
      </c>
      <c r="I496" s="938">
        <v>2585000</v>
      </c>
      <c r="J496" s="899" t="s">
        <v>2865</v>
      </c>
      <c r="K496" s="295">
        <v>2017</v>
      </c>
      <c r="L496" s="548">
        <v>42811</v>
      </c>
      <c r="M496" s="896">
        <v>42846</v>
      </c>
      <c r="N496" s="896">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1">
        <f t="shared" si="91"/>
        <v>43211</v>
      </c>
      <c r="U496" s="62">
        <f t="shared" si="92"/>
        <v>2585000</v>
      </c>
      <c r="V496" s="172">
        <f>VLOOKUP(E496,Modificaciones!$B$7:$AU$496,46,0)</f>
        <v>2583920</v>
      </c>
      <c r="W496" s="93">
        <f t="shared" si="90"/>
        <v>1080</v>
      </c>
      <c r="X496" s="309" t="s">
        <v>1616</v>
      </c>
      <c r="Y496" s="878">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3821</v>
      </c>
      <c r="AK496" s="181" t="str">
        <f t="shared" ca="1" si="97"/>
        <v>TERMINO</v>
      </c>
      <c r="AL496" s="181" t="s">
        <v>576</v>
      </c>
      <c r="AM496" s="176" t="s">
        <v>390</v>
      </c>
      <c r="AN496" s="872" t="str">
        <f>IFERROR(VLOOKUP(E496,'liquidaciones '!$B$2:$C$1048576,2,0),"NO")</f>
        <v>LIQUIDADO</v>
      </c>
      <c r="AO496" s="972">
        <f>IFERROR(VLOOKUP(E496,'liquidaciones '!$B$2:$I$1048576,8,0),"")</f>
        <v>0</v>
      </c>
      <c r="AP496" s="435"/>
      <c r="AQ496" s="177" t="s">
        <v>390</v>
      </c>
      <c r="AR496" s="435" t="s">
        <v>1511</v>
      </c>
      <c r="AS496" s="435" t="s">
        <v>3800</v>
      </c>
      <c r="AT496" s="995" t="s">
        <v>560</v>
      </c>
    </row>
    <row r="497" spans="3:46" ht="45" x14ac:dyDescent="0.25">
      <c r="C497" s="893">
        <v>243</v>
      </c>
      <c r="D497" s="893"/>
      <c r="E497" s="894" t="s">
        <v>2866</v>
      </c>
      <c r="F497" s="443" t="s">
        <v>1537</v>
      </c>
      <c r="G497" s="934">
        <v>80100229</v>
      </c>
      <c r="H497" s="1033" t="s">
        <v>3023</v>
      </c>
      <c r="I497" s="938">
        <v>70699200</v>
      </c>
      <c r="J497" s="899" t="s">
        <v>2866</v>
      </c>
      <c r="K497" s="295">
        <v>2017</v>
      </c>
      <c r="L497" s="548">
        <v>42818</v>
      </c>
      <c r="M497" s="896">
        <v>42821</v>
      </c>
      <c r="N497" s="896">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1">
        <f t="shared" si="91"/>
        <v>43280</v>
      </c>
      <c r="U497" s="62">
        <f t="shared" si="92"/>
        <v>88766773</v>
      </c>
      <c r="V497" s="172">
        <f>VLOOKUP(E497,Modificaciones!$B$7:$AU$497,46,0)</f>
        <v>88766773</v>
      </c>
      <c r="W497" s="93">
        <f t="shared" si="90"/>
        <v>0</v>
      </c>
      <c r="X497" s="309" t="s">
        <v>1533</v>
      </c>
      <c r="Y497" s="878">
        <f t="shared" si="93"/>
        <v>1</v>
      </c>
      <c r="Z497" s="42">
        <f t="shared" ca="1" si="94"/>
        <v>1</v>
      </c>
      <c r="AA497" s="43">
        <f t="shared" ca="1" si="95"/>
        <v>0</v>
      </c>
      <c r="AB497" s="202" t="str">
        <f t="shared" ca="1" si="96"/>
        <v/>
      </c>
      <c r="AC497" s="44" t="str">
        <f t="shared" si="99"/>
        <v>SI</v>
      </c>
      <c r="AD497" s="762" t="s">
        <v>1714</v>
      </c>
      <c r="AE497" s="173" t="s">
        <v>1257</v>
      </c>
      <c r="AF497" s="281" t="s">
        <v>2194</v>
      </c>
      <c r="AG497" s="894"/>
      <c r="AH497" s="281" t="s">
        <v>559</v>
      </c>
      <c r="AI497" s="305" t="s">
        <v>2193</v>
      </c>
      <c r="AJ497" s="305" t="s">
        <v>3821</v>
      </c>
      <c r="AK497" s="181" t="str">
        <f t="shared" ca="1" si="97"/>
        <v>TERMINO</v>
      </c>
      <c r="AL497" s="310" t="s">
        <v>582</v>
      </c>
      <c r="AM497" s="435" t="s">
        <v>391</v>
      </c>
      <c r="AN497" s="872" t="str">
        <f>IFERROR(VLOOKUP(E497,'liquidaciones '!$B$2:$C$1048576,2,0),"NO")</f>
        <v>NO</v>
      </c>
      <c r="AO497" s="972" t="str">
        <f>IFERROR(VLOOKUP(E497,'liquidaciones '!$B$2:$I$1048576,8,0),"")</f>
        <v/>
      </c>
      <c r="AP497" s="435"/>
      <c r="AQ497" s="435" t="s">
        <v>390</v>
      </c>
      <c r="AR497" s="435" t="s">
        <v>1511</v>
      </c>
      <c r="AS497" s="435"/>
      <c r="AT497" s="995" t="s">
        <v>560</v>
      </c>
    </row>
    <row r="498" spans="3:46" ht="45" x14ac:dyDescent="0.25">
      <c r="C498" s="893">
        <v>195</v>
      </c>
      <c r="D498" s="893"/>
      <c r="E498" s="894" t="s">
        <v>2867</v>
      </c>
      <c r="F498" s="443" t="s">
        <v>2527</v>
      </c>
      <c r="G498" s="934">
        <v>4831</v>
      </c>
      <c r="H498" s="1033" t="s">
        <v>3043</v>
      </c>
      <c r="I498" s="938">
        <v>34535000</v>
      </c>
      <c r="J498" s="899" t="s">
        <v>2869</v>
      </c>
      <c r="K498" s="295">
        <v>2017</v>
      </c>
      <c r="L498" s="548">
        <v>42811</v>
      </c>
      <c r="M498" s="896">
        <v>42831</v>
      </c>
      <c r="N498" s="896">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1">
        <f t="shared" si="91"/>
        <v>43310</v>
      </c>
      <c r="U498" s="62">
        <f t="shared" si="92"/>
        <v>34535000</v>
      </c>
      <c r="V498" s="172">
        <f>VLOOKUP(E498,Modificaciones!$B$7:$AU$498,46,0)</f>
        <v>20746799</v>
      </c>
      <c r="W498" s="93">
        <f t="shared" si="90"/>
        <v>13788201</v>
      </c>
      <c r="X498" s="309" t="s">
        <v>1644</v>
      </c>
      <c r="Y498" s="878">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2845</v>
      </c>
      <c r="AK498" s="181" t="str">
        <f t="shared" ca="1" si="97"/>
        <v>TERMINO</v>
      </c>
      <c r="AL498" s="181" t="s">
        <v>576</v>
      </c>
      <c r="AM498" s="176" t="s">
        <v>390</v>
      </c>
      <c r="AN498" s="872" t="str">
        <f>IFERROR(VLOOKUP(E498,'liquidaciones '!$B$2:$C$1048576,2,0),"NO")</f>
        <v>NO</v>
      </c>
      <c r="AO498" s="972" t="str">
        <f>IFERROR(VLOOKUP(E498,'liquidaciones '!$B$2:$I$1048576,8,0),"")</f>
        <v/>
      </c>
      <c r="AP498" s="435"/>
      <c r="AQ498" s="177" t="s">
        <v>390</v>
      </c>
      <c r="AR498" s="177" t="s">
        <v>2977</v>
      </c>
      <c r="AS498" s="435" t="s">
        <v>3806</v>
      </c>
      <c r="AT498" s="995" t="s">
        <v>3968</v>
      </c>
    </row>
    <row r="499" spans="3:46" ht="33.75" x14ac:dyDescent="0.25">
      <c r="C499" s="893">
        <v>189</v>
      </c>
      <c r="D499" s="893"/>
      <c r="E499" s="894" t="s">
        <v>2870</v>
      </c>
      <c r="F499" s="443" t="s">
        <v>2871</v>
      </c>
      <c r="G499" s="933">
        <v>860067479</v>
      </c>
      <c r="H499" s="1035" t="s">
        <v>3060</v>
      </c>
      <c r="I499" s="938">
        <v>270913000</v>
      </c>
      <c r="J499" s="899" t="s">
        <v>2875</v>
      </c>
      <c r="K499" s="295">
        <v>2017</v>
      </c>
      <c r="L499" s="548">
        <v>42825</v>
      </c>
      <c r="M499" s="896">
        <v>42829</v>
      </c>
      <c r="N499" s="896">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1">
        <f t="shared" si="91"/>
        <v>43251</v>
      </c>
      <c r="U499" s="62">
        <f t="shared" si="92"/>
        <v>407920500</v>
      </c>
      <c r="V499" s="172">
        <f>VLOOKUP(E499,Modificaciones!$B$7:$AU$499,46,0)</f>
        <v>390136571</v>
      </c>
      <c r="W499" s="93">
        <f t="shared" si="90"/>
        <v>17783929</v>
      </c>
      <c r="X499" s="309" t="s">
        <v>2769</v>
      </c>
      <c r="Y499" s="878">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3821</v>
      </c>
      <c r="AK499" s="181" t="str">
        <f t="shared" ca="1" si="97"/>
        <v>TERMINO</v>
      </c>
      <c r="AL499" s="181" t="s">
        <v>576</v>
      </c>
      <c r="AM499" s="435" t="s">
        <v>390</v>
      </c>
      <c r="AN499" s="872" t="str">
        <f>IFERROR(VLOOKUP(E499,'liquidaciones '!$B$2:$C$1048576,2,0),"NO")</f>
        <v>NO</v>
      </c>
      <c r="AO499" s="972" t="str">
        <f>IFERROR(VLOOKUP(E499,'liquidaciones '!$B$2:$I$1048576,8,0),"")</f>
        <v/>
      </c>
      <c r="AP499" s="435"/>
      <c r="AQ499" s="435" t="s">
        <v>390</v>
      </c>
      <c r="AR499" s="435" t="s">
        <v>1511</v>
      </c>
      <c r="AS499" s="435" t="s">
        <v>1380</v>
      </c>
      <c r="AT499" s="995" t="s">
        <v>560</v>
      </c>
    </row>
    <row r="500" spans="3:46" ht="56.25" x14ac:dyDescent="0.25">
      <c r="C500" s="893">
        <v>194</v>
      </c>
      <c r="D500" s="893"/>
      <c r="E500" s="894" t="s">
        <v>2872</v>
      </c>
      <c r="F500" s="443" t="s">
        <v>2876</v>
      </c>
      <c r="G500" s="933" t="s">
        <v>2873</v>
      </c>
      <c r="H500" s="1035" t="s">
        <v>2874</v>
      </c>
      <c r="I500" s="938">
        <v>3725711</v>
      </c>
      <c r="J500" s="899" t="s">
        <v>2877</v>
      </c>
      <c r="K500" s="295">
        <v>2017</v>
      </c>
      <c r="L500" s="548">
        <v>42823</v>
      </c>
      <c r="M500" s="896">
        <v>42831</v>
      </c>
      <c r="N500" s="896">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1">
        <f t="shared" si="91"/>
        <v>43196</v>
      </c>
      <c r="U500" s="62">
        <f t="shared" si="92"/>
        <v>3725711</v>
      </c>
      <c r="V500" s="172">
        <f>VLOOKUP(E500,Modificaciones!$B$7:$AU$500,46,0)</f>
        <v>285600</v>
      </c>
      <c r="W500" s="93">
        <f t="shared" si="90"/>
        <v>3440111</v>
      </c>
      <c r="X500" s="444" t="s">
        <v>2578</v>
      </c>
      <c r="Y500" s="878">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2845</v>
      </c>
      <c r="AK500" s="181" t="str">
        <f t="shared" ca="1" si="97"/>
        <v>TERMINO</v>
      </c>
      <c r="AL500" s="181" t="s">
        <v>576</v>
      </c>
      <c r="AM500" s="435" t="s">
        <v>390</v>
      </c>
      <c r="AN500" s="872" t="str">
        <f>IFERROR(VLOOKUP(E500,'liquidaciones '!$B$2:$C$1048576,2,0),"NO")</f>
        <v>EN TRÁMITE</v>
      </c>
      <c r="AO500" s="972">
        <f>IFERROR(VLOOKUP(E500,'liquidaciones '!$B$2:$I$1048576,8,0),"")</f>
        <v>0</v>
      </c>
      <c r="AP500" s="435"/>
      <c r="AQ500" s="435" t="s">
        <v>390</v>
      </c>
      <c r="AR500" s="177" t="s">
        <v>1511</v>
      </c>
      <c r="AS500" s="435" t="s">
        <v>3841</v>
      </c>
      <c r="AT500" s="995" t="s">
        <v>3968</v>
      </c>
    </row>
    <row r="501" spans="3:46" ht="120.75" customHeight="1" x14ac:dyDescent="0.25">
      <c r="C501" s="893">
        <v>198</v>
      </c>
      <c r="D501" s="893"/>
      <c r="E501" s="894" t="s">
        <v>2878</v>
      </c>
      <c r="F501" s="443" t="s">
        <v>1017</v>
      </c>
      <c r="G501" s="930" t="s">
        <v>2879</v>
      </c>
      <c r="H501" s="1035" t="s">
        <v>2880</v>
      </c>
      <c r="I501" s="938">
        <v>10473600</v>
      </c>
      <c r="J501" s="899" t="s">
        <v>2881</v>
      </c>
      <c r="K501" s="295">
        <v>2017</v>
      </c>
      <c r="L501" s="548">
        <v>42823</v>
      </c>
      <c r="M501" s="896">
        <v>42857</v>
      </c>
      <c r="N501" s="896">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1">
        <f t="shared" si="91"/>
        <v>43161</v>
      </c>
      <c r="U501" s="62">
        <f t="shared" si="92"/>
        <v>10473600</v>
      </c>
      <c r="V501" s="172">
        <f>VLOOKUP(E501,Modificaciones!$B$7:$AU$501,46,0)</f>
        <v>10467368</v>
      </c>
      <c r="W501" s="93">
        <f t="shared" si="90"/>
        <v>6232</v>
      </c>
      <c r="X501" s="315" t="s">
        <v>1233</v>
      </c>
      <c r="Y501" s="878">
        <f t="shared" si="93"/>
        <v>0.9994049801405438</v>
      </c>
      <c r="Z501" s="42">
        <f t="shared" ca="1" si="94"/>
        <v>1</v>
      </c>
      <c r="AA501" s="43">
        <f t="shared" ca="1" si="95"/>
        <v>5.9501985945620284E-4</v>
      </c>
      <c r="AB501" s="202" t="str">
        <f t="shared" ca="1" si="96"/>
        <v/>
      </c>
      <c r="AC501" s="44" t="str">
        <f t="shared" si="100"/>
        <v>SI</v>
      </c>
      <c r="AD501" s="762" t="s">
        <v>2516</v>
      </c>
      <c r="AE501" s="173" t="s">
        <v>1257</v>
      </c>
      <c r="AF501" s="301" t="s">
        <v>1145</v>
      </c>
      <c r="AG501" s="173" t="s">
        <v>1443</v>
      </c>
      <c r="AH501" s="281" t="s">
        <v>560</v>
      </c>
      <c r="AI501" s="174" t="s">
        <v>1381</v>
      </c>
      <c r="AJ501" s="305" t="s">
        <v>3821</v>
      </c>
      <c r="AK501" s="181" t="str">
        <f t="shared" ca="1" si="97"/>
        <v>TERMINO</v>
      </c>
      <c r="AL501" s="310" t="s">
        <v>576</v>
      </c>
      <c r="AM501" s="435" t="s">
        <v>390</v>
      </c>
      <c r="AN501" s="872" t="str">
        <f>IFERROR(VLOOKUP(E501,'liquidaciones '!$B$2:$C$1048576,2,0),"NO")</f>
        <v>NO</v>
      </c>
      <c r="AO501" s="972" t="str">
        <f>IFERROR(VLOOKUP(E501,'liquidaciones '!$B$2:$I$1048576,8,0),"")</f>
        <v/>
      </c>
      <c r="AP501" s="435"/>
      <c r="AQ501" s="435" t="s">
        <v>390</v>
      </c>
      <c r="AR501" s="435" t="s">
        <v>3842</v>
      </c>
      <c r="AS501" s="435" t="s">
        <v>3841</v>
      </c>
      <c r="AT501" s="995" t="s">
        <v>560</v>
      </c>
    </row>
    <row r="502" spans="3:46" ht="22.5" x14ac:dyDescent="0.25">
      <c r="C502" s="922">
        <v>169</v>
      </c>
      <c r="D502" s="922"/>
      <c r="E502" s="923" t="s">
        <v>2882</v>
      </c>
      <c r="F502" s="580" t="s">
        <v>2427</v>
      </c>
      <c r="G502" s="930">
        <v>800249557</v>
      </c>
      <c r="H502" s="1035" t="s">
        <v>2883</v>
      </c>
      <c r="I502" s="938">
        <v>4300000</v>
      </c>
      <c r="J502" s="899" t="s">
        <v>2882</v>
      </c>
      <c r="K502" s="295">
        <v>2017</v>
      </c>
      <c r="L502" s="548">
        <v>42837</v>
      </c>
      <c r="M502" s="896">
        <v>42849</v>
      </c>
      <c r="N502" s="896">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1">
        <f t="shared" si="91"/>
        <v>43002</v>
      </c>
      <c r="U502" s="62">
        <f t="shared" si="92"/>
        <v>4300000</v>
      </c>
      <c r="V502" s="172">
        <f>VLOOKUP(E502,Modificaciones!$B$7:$AU$502,46,0)</f>
        <v>4300000</v>
      </c>
      <c r="W502" s="93">
        <f t="shared" si="90"/>
        <v>0</v>
      </c>
      <c r="X502" s="309" t="s">
        <v>2732</v>
      </c>
      <c r="Y502" s="878">
        <f t="shared" si="93"/>
        <v>1</v>
      </c>
      <c r="Z502" s="42">
        <f t="shared" ca="1" si="94"/>
        <v>1</v>
      </c>
      <c r="AA502" s="43">
        <f t="shared" ca="1" si="95"/>
        <v>0</v>
      </c>
      <c r="AB502" s="202" t="str">
        <f t="shared" ca="1" si="96"/>
        <v/>
      </c>
      <c r="AC502" s="44" t="str">
        <f t="shared" si="100"/>
        <v>SI</v>
      </c>
      <c r="AD502" s="894"/>
      <c r="AE502" s="173" t="s">
        <v>1257</v>
      </c>
      <c r="AF502" s="281" t="s">
        <v>1292</v>
      </c>
      <c r="AG502" s="173"/>
      <c r="AH502" s="281" t="s">
        <v>564</v>
      </c>
      <c r="AI502" s="305"/>
      <c r="AJ502" s="305" t="s">
        <v>2845</v>
      </c>
      <c r="AK502" s="181" t="str">
        <f t="shared" ca="1" si="97"/>
        <v>TERMINO</v>
      </c>
      <c r="AL502" s="310" t="s">
        <v>582</v>
      </c>
      <c r="AM502" s="435" t="s">
        <v>391</v>
      </c>
      <c r="AN502" s="872" t="str">
        <f>IFERROR(VLOOKUP(E502,'liquidaciones '!$B$2:$C$1048576,2,0),"NO")</f>
        <v>LIQUIDADO</v>
      </c>
      <c r="AO502" s="972">
        <f>IFERROR(VLOOKUP(E502,'liquidaciones '!$B$2:$I$1048576,8,0),"")</f>
        <v>0</v>
      </c>
      <c r="AP502" s="435"/>
      <c r="AQ502" s="435" t="s">
        <v>390</v>
      </c>
      <c r="AR502" s="177" t="s">
        <v>2977</v>
      </c>
      <c r="AS502" s="435"/>
      <c r="AT502" s="995" t="s">
        <v>3968</v>
      </c>
    </row>
    <row r="503" spans="3:46" ht="45" x14ac:dyDescent="0.25">
      <c r="C503" s="893">
        <v>152</v>
      </c>
      <c r="D503" s="893"/>
      <c r="E503" s="894" t="s">
        <v>2887</v>
      </c>
      <c r="F503" s="443" t="s">
        <v>2888</v>
      </c>
      <c r="G503" s="933">
        <v>86058835</v>
      </c>
      <c r="H503" s="1035" t="s">
        <v>2889</v>
      </c>
      <c r="I503" s="938">
        <v>54000000</v>
      </c>
      <c r="J503" s="899" t="s">
        <v>2887</v>
      </c>
      <c r="K503" s="295">
        <v>2017</v>
      </c>
      <c r="L503" s="548">
        <v>42846</v>
      </c>
      <c r="M503" s="896">
        <v>42849</v>
      </c>
      <c r="N503" s="896">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1">
        <f t="shared" si="91"/>
        <v>43280</v>
      </c>
      <c r="U503" s="62">
        <f t="shared" si="92"/>
        <v>76500000</v>
      </c>
      <c r="V503" s="172">
        <f>VLOOKUP(E503,Modificaciones!$B$7:$AU$503,46,0)</f>
        <v>76500000</v>
      </c>
      <c r="W503" s="93">
        <f t="shared" si="90"/>
        <v>0</v>
      </c>
      <c r="X503" s="309" t="s">
        <v>1095</v>
      </c>
      <c r="Y503" s="878">
        <f t="shared" si="93"/>
        <v>1</v>
      </c>
      <c r="Z503" s="42">
        <f t="shared" ca="1" si="94"/>
        <v>1</v>
      </c>
      <c r="AA503" s="43">
        <f t="shared" ca="1" si="95"/>
        <v>0</v>
      </c>
      <c r="AB503" s="202" t="str">
        <f t="shared" ca="1" si="96"/>
        <v/>
      </c>
      <c r="AC503" s="44" t="str">
        <f t="shared" si="100"/>
        <v>SI</v>
      </c>
      <c r="AD503" s="762" t="s">
        <v>1714</v>
      </c>
      <c r="AE503" s="173" t="s">
        <v>1257</v>
      </c>
      <c r="AF503" s="281" t="s">
        <v>2175</v>
      </c>
      <c r="AG503" s="173"/>
      <c r="AH503" s="281" t="s">
        <v>559</v>
      </c>
      <c r="AI503" s="305"/>
      <c r="AJ503" s="305" t="s">
        <v>2845</v>
      </c>
      <c r="AK503" s="181" t="str">
        <f t="shared" ca="1" si="97"/>
        <v>TERMINO</v>
      </c>
      <c r="AL503" s="310" t="s">
        <v>582</v>
      </c>
      <c r="AM503" s="435" t="s">
        <v>391</v>
      </c>
      <c r="AN503" s="872" t="str">
        <f>IFERROR(VLOOKUP(E503,'liquidaciones '!$B$2:$C$1048576,2,0),"NO")</f>
        <v>NO</v>
      </c>
      <c r="AO503" s="972" t="str">
        <f>IFERROR(VLOOKUP(E503,'liquidaciones '!$B$2:$I$1048576,8,0),"")</f>
        <v/>
      </c>
      <c r="AP503" s="435"/>
      <c r="AQ503" s="435" t="s">
        <v>390</v>
      </c>
      <c r="AR503" s="435" t="s">
        <v>1511</v>
      </c>
      <c r="AS503" s="435"/>
      <c r="AT503" s="995" t="s">
        <v>3968</v>
      </c>
    </row>
    <row r="504" spans="3:46" ht="45" x14ac:dyDescent="0.25">
      <c r="C504" s="893">
        <v>158</v>
      </c>
      <c r="D504" s="893"/>
      <c r="E504" s="894" t="s">
        <v>2890</v>
      </c>
      <c r="F504" s="443" t="s">
        <v>2047</v>
      </c>
      <c r="G504" s="933">
        <v>35493364</v>
      </c>
      <c r="H504" s="1035" t="s">
        <v>2891</v>
      </c>
      <c r="I504" s="938">
        <v>51300000</v>
      </c>
      <c r="J504" s="899" t="s">
        <v>2890</v>
      </c>
      <c r="K504" s="295">
        <v>2017</v>
      </c>
      <c r="L504" s="548">
        <v>42849</v>
      </c>
      <c r="M504" s="896">
        <v>42850</v>
      </c>
      <c r="N504" s="896">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1">
        <f t="shared" si="91"/>
        <v>43260</v>
      </c>
      <c r="U504" s="62">
        <f t="shared" si="92"/>
        <v>76950000</v>
      </c>
      <c r="V504" s="172">
        <f>VLOOKUP(E504,Modificaciones!$B$7:$AU$504,46,0)</f>
        <v>76950000</v>
      </c>
      <c r="W504" s="93">
        <f t="shared" si="90"/>
        <v>0</v>
      </c>
      <c r="X504" s="309" t="s">
        <v>2531</v>
      </c>
      <c r="Y504" s="878">
        <f t="shared" si="93"/>
        <v>1</v>
      </c>
      <c r="Z504" s="42">
        <f t="shared" ca="1" si="94"/>
        <v>1</v>
      </c>
      <c r="AA504" s="43">
        <f t="shared" ca="1" si="95"/>
        <v>0</v>
      </c>
      <c r="AB504" s="202" t="str">
        <f t="shared" ca="1" si="96"/>
        <v/>
      </c>
      <c r="AC504" s="44" t="str">
        <f t="shared" si="100"/>
        <v>SI</v>
      </c>
      <c r="AD504" s="762" t="s">
        <v>1714</v>
      </c>
      <c r="AE504" s="173" t="s">
        <v>1257</v>
      </c>
      <c r="AF504" s="173" t="s">
        <v>2530</v>
      </c>
      <c r="AG504" s="173"/>
      <c r="AH504" s="281" t="s">
        <v>560</v>
      </c>
      <c r="AI504" s="894"/>
      <c r="AJ504" s="305" t="s">
        <v>2845</v>
      </c>
      <c r="AK504" s="181" t="str">
        <f t="shared" ca="1" si="97"/>
        <v>TERMINO</v>
      </c>
      <c r="AL504" s="181" t="s">
        <v>576</v>
      </c>
      <c r="AM504" s="176" t="s">
        <v>391</v>
      </c>
      <c r="AN504" s="872" t="str">
        <f>IFERROR(VLOOKUP(E504,'liquidaciones '!$B$2:$C$1048576,2,0),"NO")</f>
        <v>NO</v>
      </c>
      <c r="AO504" s="972" t="str">
        <f>IFERROR(VLOOKUP(E504,'liquidaciones '!$B$2:$I$1048576,8,0),"")</f>
        <v/>
      </c>
      <c r="AP504" s="435"/>
      <c r="AQ504" s="177" t="s">
        <v>390</v>
      </c>
      <c r="AR504" s="435" t="s">
        <v>3069</v>
      </c>
      <c r="AS504" s="435"/>
      <c r="AT504" s="995" t="s">
        <v>560</v>
      </c>
    </row>
    <row r="505" spans="3:46" ht="49.5" customHeight="1" x14ac:dyDescent="0.25">
      <c r="C505" s="893"/>
      <c r="D505" s="893"/>
      <c r="E505" s="894" t="s">
        <v>2892</v>
      </c>
      <c r="F505" s="443" t="s">
        <v>2366</v>
      </c>
      <c r="G505" s="933">
        <v>800103052</v>
      </c>
      <c r="H505" s="1035" t="s">
        <v>2921</v>
      </c>
      <c r="I505" s="938">
        <v>208669579</v>
      </c>
      <c r="J505" s="899" t="s">
        <v>2922</v>
      </c>
      <c r="K505" s="295">
        <v>2017</v>
      </c>
      <c r="L505" s="548">
        <v>42794</v>
      </c>
      <c r="M505" s="896">
        <v>42857</v>
      </c>
      <c r="N505" s="896">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1">
        <f t="shared" si="91"/>
        <v>43100</v>
      </c>
      <c r="U505" s="62">
        <f t="shared" si="92"/>
        <v>208669579</v>
      </c>
      <c r="V505" s="172">
        <f>VLOOKUP(E505,Modificaciones!$B$7:$AU$505,46,0)</f>
        <v>208669579</v>
      </c>
      <c r="W505" s="93">
        <f t="shared" si="90"/>
        <v>0</v>
      </c>
      <c r="X505" s="309"/>
      <c r="Y505" s="878">
        <f t="shared" si="93"/>
        <v>1</v>
      </c>
      <c r="Z505" s="42">
        <f t="shared" ca="1" si="94"/>
        <v>1</v>
      </c>
      <c r="AA505" s="43">
        <f t="shared" ca="1" si="95"/>
        <v>0</v>
      </c>
      <c r="AB505" s="202" t="str">
        <f t="shared" ca="1" si="96"/>
        <v/>
      </c>
      <c r="AC505" s="44" t="str">
        <f t="shared" si="100"/>
        <v>SI</v>
      </c>
      <c r="AD505" s="762" t="s">
        <v>1713</v>
      </c>
      <c r="AE505" s="173" t="s">
        <v>1258</v>
      </c>
      <c r="AF505" s="281" t="s">
        <v>2266</v>
      </c>
      <c r="AG505" s="173" t="s">
        <v>1440</v>
      </c>
      <c r="AH505" s="281" t="s">
        <v>560</v>
      </c>
      <c r="AI505" s="305" t="s">
        <v>1510</v>
      </c>
      <c r="AJ505" s="305" t="s">
        <v>3821</v>
      </c>
      <c r="AK505" s="181" t="str">
        <f t="shared" ca="1" si="97"/>
        <v>TERMINO</v>
      </c>
      <c r="AL505" s="443" t="s">
        <v>2923</v>
      </c>
      <c r="AM505" s="435"/>
      <c r="AN505" s="872" t="str">
        <f>IFERROR(VLOOKUP(E505,'liquidaciones '!$B$2:$C$1048576,2,0),"NO")</f>
        <v>EN TRÁMITE</v>
      </c>
      <c r="AO505" s="972">
        <f>IFERROR(VLOOKUP(E505,'liquidaciones '!$B$2:$I$1048576,8,0),"")</f>
        <v>0</v>
      </c>
      <c r="AP505" s="435"/>
      <c r="AQ505" s="177" t="s">
        <v>390</v>
      </c>
      <c r="AR505" s="177" t="s">
        <v>2919</v>
      </c>
      <c r="AS505" s="435" t="s">
        <v>3804</v>
      </c>
      <c r="AT505" s="995" t="s">
        <v>560</v>
      </c>
    </row>
    <row r="506" spans="3:46" ht="56.25" x14ac:dyDescent="0.25">
      <c r="C506" s="893">
        <v>141</v>
      </c>
      <c r="D506" s="893"/>
      <c r="E506" s="894" t="s">
        <v>2893</v>
      </c>
      <c r="F506" s="443" t="s">
        <v>2894</v>
      </c>
      <c r="G506" s="933">
        <v>41782234</v>
      </c>
      <c r="H506" s="1035" t="s">
        <v>2895</v>
      </c>
      <c r="I506" s="938">
        <v>57000000</v>
      </c>
      <c r="J506" s="899" t="s">
        <v>2893</v>
      </c>
      <c r="K506" s="295">
        <v>2017</v>
      </c>
      <c r="L506" s="548">
        <v>42844</v>
      </c>
      <c r="M506" s="896">
        <v>42846</v>
      </c>
      <c r="N506" s="896">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1">
        <f t="shared" si="91"/>
        <v>43280</v>
      </c>
      <c r="U506" s="62">
        <f t="shared" si="92"/>
        <v>81320000</v>
      </c>
      <c r="V506" s="172">
        <f>VLOOKUP(E506,Modificaciones!$B$7:$AU$506,46,0)</f>
        <v>81320000</v>
      </c>
      <c r="W506" s="93">
        <f t="shared" ref="W506:W569" si="101">U506-V506</f>
        <v>0</v>
      </c>
      <c r="X506" s="309" t="s">
        <v>1095</v>
      </c>
      <c r="Y506" s="878">
        <f t="shared" si="93"/>
        <v>1</v>
      </c>
      <c r="Z506" s="42">
        <f t="shared" ca="1" si="94"/>
        <v>1</v>
      </c>
      <c r="AA506" s="43">
        <f t="shared" ca="1" si="95"/>
        <v>0</v>
      </c>
      <c r="AB506" s="202" t="str">
        <f t="shared" ca="1" si="96"/>
        <v/>
      </c>
      <c r="AC506" s="44" t="str">
        <f t="shared" si="100"/>
        <v>SI</v>
      </c>
      <c r="AD506" s="762" t="s">
        <v>1714</v>
      </c>
      <c r="AE506" s="173" t="s">
        <v>1257</v>
      </c>
      <c r="AF506" s="281" t="s">
        <v>2467</v>
      </c>
      <c r="AG506" s="173" t="s">
        <v>1438</v>
      </c>
      <c r="AH506" s="281" t="s">
        <v>561</v>
      </c>
      <c r="AI506" s="305"/>
      <c r="AJ506" s="305" t="s">
        <v>3822</v>
      </c>
      <c r="AK506" s="181" t="str">
        <f t="shared" ca="1" si="97"/>
        <v>TERMINO</v>
      </c>
      <c r="AL506" s="181" t="s">
        <v>582</v>
      </c>
      <c r="AM506" s="176" t="s">
        <v>391</v>
      </c>
      <c r="AN506" s="872" t="str">
        <f>IFERROR(VLOOKUP(E506,'liquidaciones '!$B$2:$C$1048576,2,0),"NO")</f>
        <v>NO</v>
      </c>
      <c r="AO506" s="972" t="str">
        <f>IFERROR(VLOOKUP(E506,'liquidaciones '!$B$2:$I$1048576,8,0),"")</f>
        <v/>
      </c>
      <c r="AP506" s="339"/>
      <c r="AQ506" s="177" t="str">
        <f ca="1">IF((TODAY()-T506&lt;900),"SI","NO")</f>
        <v>SI</v>
      </c>
      <c r="AR506" s="435" t="s">
        <v>1511</v>
      </c>
      <c r="AS506" s="435"/>
      <c r="AT506" s="995" t="s">
        <v>4216</v>
      </c>
    </row>
    <row r="507" spans="3:46" ht="30" x14ac:dyDescent="0.25">
      <c r="C507" s="893">
        <v>184</v>
      </c>
      <c r="D507" s="893"/>
      <c r="E507" s="894" t="s">
        <v>2896</v>
      </c>
      <c r="F507" s="443" t="s">
        <v>2897</v>
      </c>
      <c r="G507" s="933">
        <v>800084124</v>
      </c>
      <c r="H507" s="1035" t="s">
        <v>3061</v>
      </c>
      <c r="I507" s="938">
        <v>39000000</v>
      </c>
      <c r="J507" s="899" t="s">
        <v>2913</v>
      </c>
      <c r="K507" s="295">
        <v>2017</v>
      </c>
      <c r="L507" s="548">
        <v>42823</v>
      </c>
      <c r="M507" s="896">
        <v>42846</v>
      </c>
      <c r="N507" s="896">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1">
        <f t="shared" si="91"/>
        <v>43216</v>
      </c>
      <c r="U507" s="62">
        <f t="shared" si="92"/>
        <v>39000000</v>
      </c>
      <c r="V507" s="172">
        <f>VLOOKUP(E507,Modificaciones!$B$7:$AU$507,46,0)</f>
        <v>8712261</v>
      </c>
      <c r="W507" s="93">
        <f t="shared" si="101"/>
        <v>30287739</v>
      </c>
      <c r="X507" s="309" t="s">
        <v>1095</v>
      </c>
      <c r="Y507" s="878">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2845</v>
      </c>
      <c r="AK507" s="181" t="str">
        <f t="shared" ca="1" si="97"/>
        <v>TERMINO</v>
      </c>
      <c r="AL507" s="310" t="s">
        <v>576</v>
      </c>
      <c r="AM507" s="176" t="s">
        <v>390</v>
      </c>
      <c r="AN507" s="872" t="str">
        <f>IFERROR(VLOOKUP(E507,'liquidaciones '!$B$2:$C$1048576,2,0),"NO")</f>
        <v>NO</v>
      </c>
      <c r="AO507" s="972" t="str">
        <f>IFERROR(VLOOKUP(E507,'liquidaciones '!$B$2:$I$1048576,8,0),"")</f>
        <v/>
      </c>
      <c r="AP507" s="435"/>
      <c r="AQ507" s="177" t="str">
        <f ca="1">IF((TODAY()-T507&lt;900),"SI","NO")</f>
        <v>SI</v>
      </c>
      <c r="AR507" s="435" t="s">
        <v>1511</v>
      </c>
      <c r="AS507" s="435" t="s">
        <v>3806</v>
      </c>
      <c r="AT507" s="995" t="s">
        <v>3968</v>
      </c>
    </row>
    <row r="508" spans="3:46" ht="33.75" x14ac:dyDescent="0.25">
      <c r="C508" s="893">
        <v>148</v>
      </c>
      <c r="D508" s="893"/>
      <c r="E508" s="894" t="s">
        <v>2898</v>
      </c>
      <c r="F508" s="443" t="s">
        <v>2456</v>
      </c>
      <c r="G508" s="933">
        <v>41758887</v>
      </c>
      <c r="H508" s="1035" t="s">
        <v>3062</v>
      </c>
      <c r="I508" s="938">
        <v>51300000</v>
      </c>
      <c r="J508" s="899" t="s">
        <v>2898</v>
      </c>
      <c r="K508" s="295">
        <v>2017</v>
      </c>
      <c r="L508" s="548">
        <v>42846</v>
      </c>
      <c r="M508" s="896">
        <v>42850</v>
      </c>
      <c r="N508" s="896">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1">
        <f t="shared" si="91"/>
        <v>43260</v>
      </c>
      <c r="U508" s="62">
        <f t="shared" si="92"/>
        <v>76950000</v>
      </c>
      <c r="V508" s="172">
        <f>VLOOKUP(E508,Modificaciones!$B$7:$AU$508,46,0)</f>
        <v>76950000</v>
      </c>
      <c r="W508" s="93">
        <f t="shared" si="101"/>
        <v>0</v>
      </c>
      <c r="X508" s="309" t="s">
        <v>1095</v>
      </c>
      <c r="Y508" s="878">
        <f t="shared" si="93"/>
        <v>1</v>
      </c>
      <c r="Z508" s="42">
        <f t="shared" ca="1" si="94"/>
        <v>1</v>
      </c>
      <c r="AA508" s="43">
        <f t="shared" ca="1" si="95"/>
        <v>0</v>
      </c>
      <c r="AB508" s="202" t="str">
        <f t="shared" ca="1" si="96"/>
        <v/>
      </c>
      <c r="AC508" s="44" t="str">
        <f t="shared" si="100"/>
        <v>SI</v>
      </c>
      <c r="AD508" s="762" t="s">
        <v>1714</v>
      </c>
      <c r="AE508" s="173" t="s">
        <v>1257</v>
      </c>
      <c r="AF508" s="281" t="s">
        <v>2060</v>
      </c>
      <c r="AG508" s="173" t="s">
        <v>1178</v>
      </c>
      <c r="AH508" s="281" t="s">
        <v>559</v>
      </c>
      <c r="AI508" s="305" t="s">
        <v>2172</v>
      </c>
      <c r="AJ508" s="305" t="s">
        <v>2845</v>
      </c>
      <c r="AK508" s="181" t="str">
        <f t="shared" ca="1" si="97"/>
        <v>TERMINO</v>
      </c>
      <c r="AL508" s="310" t="s">
        <v>582</v>
      </c>
      <c r="AM508" s="435" t="s">
        <v>391</v>
      </c>
      <c r="AN508" s="872" t="str">
        <f>IFERROR(VLOOKUP(E508,'liquidaciones '!$B$2:$C$1048576,2,0),"NO")</f>
        <v>NO</v>
      </c>
      <c r="AO508" s="972" t="str">
        <f>IFERROR(VLOOKUP(E508,'liquidaciones '!$B$2:$I$1048576,8,0),"")</f>
        <v/>
      </c>
      <c r="AP508" s="435"/>
      <c r="AQ508" s="177" t="str">
        <f ca="1">IF((TODAY()-T508&lt;900),"SI","NO")</f>
        <v>SI</v>
      </c>
      <c r="AR508" s="435" t="s">
        <v>3069</v>
      </c>
      <c r="AS508" s="435"/>
      <c r="AT508" s="995" t="s">
        <v>3968</v>
      </c>
    </row>
    <row r="509" spans="3:46" ht="45" x14ac:dyDescent="0.25">
      <c r="C509" s="893">
        <v>157</v>
      </c>
      <c r="D509" s="893"/>
      <c r="E509" s="894" t="s">
        <v>2899</v>
      </c>
      <c r="F509" s="443" t="s">
        <v>3924</v>
      </c>
      <c r="G509" s="933">
        <v>63548489</v>
      </c>
      <c r="H509" s="1035" t="s">
        <v>2900</v>
      </c>
      <c r="I509" s="938">
        <v>51300000</v>
      </c>
      <c r="J509" s="899" t="s">
        <v>2899</v>
      </c>
      <c r="K509" s="295">
        <v>2017</v>
      </c>
      <c r="L509" s="548">
        <v>42849</v>
      </c>
      <c r="M509" s="896">
        <v>42851</v>
      </c>
      <c r="N509" s="896">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1">
        <f t="shared" si="91"/>
        <v>43261</v>
      </c>
      <c r="U509" s="62">
        <f t="shared" si="92"/>
        <v>76950000</v>
      </c>
      <c r="V509" s="172">
        <f>VLOOKUP(E509,Modificaciones!$B$7:$AU$509,46,0)</f>
        <v>75810000</v>
      </c>
      <c r="W509" s="93">
        <f t="shared" si="101"/>
        <v>1140000</v>
      </c>
      <c r="X509" s="309" t="s">
        <v>1095</v>
      </c>
      <c r="Y509" s="878">
        <f t="shared" si="93"/>
        <v>0.98518518518518516</v>
      </c>
      <c r="Z509" s="42">
        <f t="shared" ca="1" si="94"/>
        <v>1</v>
      </c>
      <c r="AA509" s="43">
        <f t="shared" ca="1" si="95"/>
        <v>1.4814814814814836E-2</v>
      </c>
      <c r="AB509" s="202" t="str">
        <f t="shared" ca="1" si="96"/>
        <v/>
      </c>
      <c r="AC509" s="44" t="str">
        <f t="shared" si="100"/>
        <v>NO</v>
      </c>
      <c r="AD509" s="762" t="s">
        <v>1714</v>
      </c>
      <c r="AE509" s="173" t="s">
        <v>1257</v>
      </c>
      <c r="AF509" s="173" t="s">
        <v>2500</v>
      </c>
      <c r="AG509" s="173" t="s">
        <v>1431</v>
      </c>
      <c r="AH509" s="281" t="s">
        <v>564</v>
      </c>
      <c r="AI509" s="305"/>
      <c r="AJ509" s="305" t="s">
        <v>2845</v>
      </c>
      <c r="AK509" s="181" t="str">
        <f t="shared" ca="1" si="97"/>
        <v>TERMINO</v>
      </c>
      <c r="AL509" s="310" t="s">
        <v>582</v>
      </c>
      <c r="AM509" s="176" t="s">
        <v>391</v>
      </c>
      <c r="AN509" s="872" t="str">
        <f>IFERROR(VLOOKUP(E509,'liquidaciones '!$B$2:$C$1048576,2,0),"NO")</f>
        <v>NO</v>
      </c>
      <c r="AO509" s="972" t="str">
        <f>IFERROR(VLOOKUP(E509,'liquidaciones '!$B$2:$I$1048576,8,0),"")</f>
        <v/>
      </c>
      <c r="AP509" s="339"/>
      <c r="AQ509" s="177" t="str">
        <f ca="1">IF((TODAY()-T509&lt;900),"SI","NO")</f>
        <v>SI</v>
      </c>
      <c r="AR509" s="435" t="s">
        <v>3069</v>
      </c>
      <c r="AS509" s="435"/>
      <c r="AT509" s="995" t="s">
        <v>3949</v>
      </c>
    </row>
    <row r="510" spans="3:46" ht="67.5" x14ac:dyDescent="0.25">
      <c r="C510" s="893">
        <v>219</v>
      </c>
      <c r="D510" s="893"/>
      <c r="E510" s="894" t="s">
        <v>2901</v>
      </c>
      <c r="F510" s="443" t="s">
        <v>2806</v>
      </c>
      <c r="G510" s="933">
        <v>830016004</v>
      </c>
      <c r="H510" s="1035" t="s">
        <v>2902</v>
      </c>
      <c r="I510" s="938">
        <v>58228000</v>
      </c>
      <c r="J510" s="899" t="s">
        <v>2903</v>
      </c>
      <c r="K510" s="295">
        <v>2017</v>
      </c>
      <c r="L510" s="548">
        <v>42835</v>
      </c>
      <c r="M510" s="896">
        <v>42857</v>
      </c>
      <c r="N510" s="896">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1">
        <f t="shared" si="91"/>
        <v>42918</v>
      </c>
      <c r="U510" s="62">
        <f t="shared" si="92"/>
        <v>58228000</v>
      </c>
      <c r="V510" s="172">
        <f>VLOOKUP(E510,Modificaciones!$B$7:$AU$510,46,0)</f>
        <v>58228000</v>
      </c>
      <c r="W510" s="93">
        <f t="shared" si="101"/>
        <v>0</v>
      </c>
      <c r="X510" s="313" t="s">
        <v>2808</v>
      </c>
      <c r="Y510" s="878">
        <f t="shared" si="93"/>
        <v>1</v>
      </c>
      <c r="Z510" s="42">
        <f t="shared" ca="1" si="94"/>
        <v>1</v>
      </c>
      <c r="AA510" s="43">
        <f t="shared" ca="1" si="95"/>
        <v>0</v>
      </c>
      <c r="AB510" s="202" t="str">
        <f t="shared" ca="1" si="96"/>
        <v/>
      </c>
      <c r="AC510" s="44" t="str">
        <f t="shared" si="100"/>
        <v>SI</v>
      </c>
      <c r="AD510" s="894" t="s">
        <v>1715</v>
      </c>
      <c r="AE510" s="897" t="s">
        <v>1258</v>
      </c>
      <c r="AF510" s="897" t="s">
        <v>2818</v>
      </c>
      <c r="AG510" s="173" t="s">
        <v>1440</v>
      </c>
      <c r="AH510" s="281" t="s">
        <v>560</v>
      </c>
      <c r="AI510" s="305" t="s">
        <v>1510</v>
      </c>
      <c r="AJ510" s="305" t="s">
        <v>2845</v>
      </c>
      <c r="AK510" s="181" t="str">
        <f t="shared" ca="1" si="97"/>
        <v>TERMINO</v>
      </c>
      <c r="AL510" s="443" t="s">
        <v>2918</v>
      </c>
      <c r="AM510" s="435" t="s">
        <v>390</v>
      </c>
      <c r="AN510" s="872" t="str">
        <f>IFERROR(VLOOKUP(E510,'liquidaciones '!$B$2:$C$1048576,2,0),"NO")</f>
        <v>LIQUIDADO</v>
      </c>
      <c r="AO510" s="972">
        <f>IFERROR(VLOOKUP(E510,'liquidaciones '!$B$2:$I$1048576,8,0),"")</f>
        <v>0</v>
      </c>
      <c r="AP510" s="435"/>
      <c r="AQ510" s="177" t="s">
        <v>390</v>
      </c>
      <c r="AR510" s="177" t="s">
        <v>2919</v>
      </c>
      <c r="AS510" s="435"/>
      <c r="AT510" s="995"/>
    </row>
    <row r="511" spans="3:46" ht="45" x14ac:dyDescent="0.25">
      <c r="C511" s="893">
        <v>150</v>
      </c>
      <c r="D511" s="893"/>
      <c r="E511" s="894" t="s">
        <v>2904</v>
      </c>
      <c r="F511" s="443" t="s">
        <v>2650</v>
      </c>
      <c r="G511" s="933">
        <v>52499785</v>
      </c>
      <c r="H511" s="1035" t="s">
        <v>2493</v>
      </c>
      <c r="I511" s="938">
        <v>51300000</v>
      </c>
      <c r="J511" s="899" t="s">
        <v>2904</v>
      </c>
      <c r="K511" s="295">
        <v>2017</v>
      </c>
      <c r="L511" s="548">
        <v>42850</v>
      </c>
      <c r="M511" s="896">
        <v>42857</v>
      </c>
      <c r="N511" s="896">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1">
        <f t="shared" si="91"/>
        <v>43222</v>
      </c>
      <c r="U511" s="62">
        <f t="shared" si="92"/>
        <v>51300000</v>
      </c>
      <c r="V511" s="172">
        <f>VLOOKUP(E511,Modificaciones!$B$7:$AU$511,46,0)</f>
        <v>51300000</v>
      </c>
      <c r="W511" s="93">
        <f t="shared" si="101"/>
        <v>0</v>
      </c>
      <c r="X511" s="309" t="s">
        <v>1095</v>
      </c>
      <c r="Y511" s="878">
        <f t="shared" si="93"/>
        <v>1</v>
      </c>
      <c r="Z511" s="42">
        <f t="shared" ca="1" si="94"/>
        <v>1</v>
      </c>
      <c r="AA511" s="43">
        <f t="shared" ca="1" si="95"/>
        <v>0</v>
      </c>
      <c r="AB511" s="202" t="str">
        <f t="shared" ca="1" si="96"/>
        <v/>
      </c>
      <c r="AC511" s="44" t="str">
        <f t="shared" si="100"/>
        <v>SI</v>
      </c>
      <c r="AD511" s="762" t="s">
        <v>1714</v>
      </c>
      <c r="AE511" s="173" t="s">
        <v>1257</v>
      </c>
      <c r="AF511" s="173" t="s">
        <v>2494</v>
      </c>
      <c r="AG511" s="173"/>
      <c r="AH511" s="281"/>
      <c r="AI511" s="305"/>
      <c r="AJ511" s="305" t="s">
        <v>2845</v>
      </c>
      <c r="AK511" s="181" t="str">
        <f t="shared" ca="1" si="97"/>
        <v>TERMINO</v>
      </c>
      <c r="AL511" s="310" t="s">
        <v>582</v>
      </c>
      <c r="AM511" s="176" t="s">
        <v>391</v>
      </c>
      <c r="AN511" s="872" t="str">
        <f>IFERROR(VLOOKUP(E511,'liquidaciones '!$B$2:$C$1048576,2,0),"NO")</f>
        <v>NO</v>
      </c>
      <c r="AO511" s="972" t="str">
        <f>IFERROR(VLOOKUP(E511,'liquidaciones '!$B$2:$I$1048576,8,0),"")</f>
        <v/>
      </c>
      <c r="AP511" s="435"/>
      <c r="AQ511" s="177" t="str">
        <f ca="1">IF((TODAY()-T511&lt;900),"SI","NO")</f>
        <v>SI</v>
      </c>
      <c r="AR511" s="435" t="s">
        <v>2991</v>
      </c>
      <c r="AS511" s="435"/>
      <c r="AT511" s="995" t="s">
        <v>3949</v>
      </c>
    </row>
    <row r="512" spans="3:46" ht="45" x14ac:dyDescent="0.25">
      <c r="C512" s="893">
        <v>156</v>
      </c>
      <c r="D512" s="893"/>
      <c r="E512" s="894" t="s">
        <v>2905</v>
      </c>
      <c r="F512" s="443" t="s">
        <v>2490</v>
      </c>
      <c r="G512" s="933">
        <v>79646061</v>
      </c>
      <c r="H512" s="1035" t="s">
        <v>3035</v>
      </c>
      <c r="I512" s="938">
        <v>57000000</v>
      </c>
      <c r="J512" s="899" t="s">
        <v>2905</v>
      </c>
      <c r="K512" s="295">
        <v>2017</v>
      </c>
      <c r="L512" s="548">
        <v>42850</v>
      </c>
      <c r="M512" s="896">
        <v>42857</v>
      </c>
      <c r="N512" s="896">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1">
        <f t="shared" ref="T512:T575" si="102">MAX(N512,S512)</f>
        <v>43280</v>
      </c>
      <c r="U512" s="62">
        <f t="shared" si="92"/>
        <v>79230000</v>
      </c>
      <c r="V512" s="172">
        <f>VLOOKUP(E512,Modificaciones!$B$7:$AU$512,46,0)</f>
        <v>79230000</v>
      </c>
      <c r="W512" s="93">
        <f t="shared" si="101"/>
        <v>0</v>
      </c>
      <c r="X512" s="309" t="s">
        <v>1095</v>
      </c>
      <c r="Y512" s="878">
        <f t="shared" si="93"/>
        <v>1</v>
      </c>
      <c r="Z512" s="42">
        <f t="shared" ca="1" si="94"/>
        <v>1</v>
      </c>
      <c r="AA512" s="43">
        <f t="shared" ca="1" si="95"/>
        <v>0</v>
      </c>
      <c r="AB512" s="202" t="str">
        <f t="shared" ca="1" si="96"/>
        <v/>
      </c>
      <c r="AC512" s="44" t="str">
        <f t="shared" si="100"/>
        <v>SI</v>
      </c>
      <c r="AD512" s="762" t="s">
        <v>1714</v>
      </c>
      <c r="AE512" s="173" t="s">
        <v>1257</v>
      </c>
      <c r="AF512" s="173" t="s">
        <v>2491</v>
      </c>
      <c r="AG512" s="173"/>
      <c r="AH512" s="281" t="s">
        <v>562</v>
      </c>
      <c r="AI512" s="305"/>
      <c r="AJ512" s="305" t="s">
        <v>3822</v>
      </c>
      <c r="AK512" s="181" t="str">
        <f t="shared" ca="1" si="97"/>
        <v>TERMINO</v>
      </c>
      <c r="AL512" s="310" t="s">
        <v>582</v>
      </c>
      <c r="AM512" s="176" t="s">
        <v>391</v>
      </c>
      <c r="AN512" s="872" t="str">
        <f>IFERROR(VLOOKUP(E512,'liquidaciones '!$B$2:$C$1048576,2,0),"NO")</f>
        <v>NO</v>
      </c>
      <c r="AO512" s="972" t="str">
        <f>IFERROR(VLOOKUP(E512,'liquidaciones '!$B$2:$I$1048576,8,0),"")</f>
        <v/>
      </c>
      <c r="AP512" s="435"/>
      <c r="AQ512" s="177" t="str">
        <f ca="1">IF((TODAY()-T512&lt;900),"SI","NO")</f>
        <v>SI</v>
      </c>
      <c r="AR512" s="435" t="s">
        <v>1511</v>
      </c>
      <c r="AS512" s="435"/>
      <c r="AT512" s="995" t="s">
        <v>4015</v>
      </c>
    </row>
    <row r="513" spans="3:46" ht="45" x14ac:dyDescent="0.25">
      <c r="C513" s="893">
        <v>69</v>
      </c>
      <c r="D513" s="893"/>
      <c r="E513" s="894" t="s">
        <v>2906</v>
      </c>
      <c r="F513" s="443" t="s">
        <v>1516</v>
      </c>
      <c r="G513" s="933">
        <v>80117116</v>
      </c>
      <c r="H513" s="1035" t="s">
        <v>2907</v>
      </c>
      <c r="I513" s="938">
        <v>38999997</v>
      </c>
      <c r="J513" s="899" t="s">
        <v>2906</v>
      </c>
      <c r="K513" s="295">
        <v>2017</v>
      </c>
      <c r="L513" s="548">
        <v>42851</v>
      </c>
      <c r="M513" s="896">
        <v>42858</v>
      </c>
      <c r="N513" s="896">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1">
        <f t="shared" si="102"/>
        <v>43268</v>
      </c>
      <c r="U513" s="62">
        <f t="shared" si="92"/>
        <v>58499996</v>
      </c>
      <c r="V513" s="172">
        <f>VLOOKUP(E513,Modificaciones!$B$7:$AU$513,46,0)</f>
        <v>58499996</v>
      </c>
      <c r="W513" s="93">
        <f t="shared" si="101"/>
        <v>0</v>
      </c>
      <c r="X513" s="309" t="s">
        <v>1095</v>
      </c>
      <c r="Y513" s="878">
        <f t="shared" si="93"/>
        <v>1</v>
      </c>
      <c r="Z513" s="42">
        <f t="shared" ca="1" si="94"/>
        <v>1</v>
      </c>
      <c r="AA513" s="43">
        <f t="shared" ca="1" si="95"/>
        <v>0</v>
      </c>
      <c r="AB513" s="202" t="str">
        <f t="shared" ca="1" si="96"/>
        <v/>
      </c>
      <c r="AC513" s="44" t="str">
        <f t="shared" si="100"/>
        <v>SI</v>
      </c>
      <c r="AD513" s="762" t="s">
        <v>1714</v>
      </c>
      <c r="AE513" s="173" t="s">
        <v>1257</v>
      </c>
      <c r="AF513" s="173" t="s">
        <v>2177</v>
      </c>
      <c r="AG513" s="173" t="s">
        <v>1431</v>
      </c>
      <c r="AH513" s="281" t="s">
        <v>564</v>
      </c>
      <c r="AI513" s="305"/>
      <c r="AJ513" s="305" t="s">
        <v>2845</v>
      </c>
      <c r="AK513" s="181" t="str">
        <f t="shared" ca="1" si="97"/>
        <v>TERMINO</v>
      </c>
      <c r="AL513" s="181" t="s">
        <v>582</v>
      </c>
      <c r="AM513" s="176" t="s">
        <v>391</v>
      </c>
      <c r="AN513" s="872" t="str">
        <f>IFERROR(VLOOKUP(E513,'liquidaciones '!$B$2:$C$1048576,2,0),"NO")</f>
        <v>NO</v>
      </c>
      <c r="AO513" s="972" t="str">
        <f>IFERROR(VLOOKUP(E513,'liquidaciones '!$B$2:$I$1048576,8,0),"")</f>
        <v/>
      </c>
      <c r="AP513" s="435"/>
      <c r="AQ513" s="177" t="str">
        <f ca="1">IF((TODAY()-T513&lt;900),"SI","NO")</f>
        <v>SI</v>
      </c>
      <c r="AR513" s="435" t="s">
        <v>3069</v>
      </c>
      <c r="AS513" s="435"/>
      <c r="AT513" s="995" t="s">
        <v>3949</v>
      </c>
    </row>
    <row r="514" spans="3:46" ht="33.75" x14ac:dyDescent="0.25">
      <c r="C514" s="893"/>
      <c r="D514" s="893"/>
      <c r="E514" s="894" t="s">
        <v>2908</v>
      </c>
      <c r="F514" s="443" t="s">
        <v>2909</v>
      </c>
      <c r="G514" s="933">
        <v>19244462</v>
      </c>
      <c r="H514" s="1035" t="s">
        <v>2920</v>
      </c>
      <c r="I514" s="938">
        <v>57000000</v>
      </c>
      <c r="J514" s="899" t="s">
        <v>2908</v>
      </c>
      <c r="K514" s="295">
        <v>2017</v>
      </c>
      <c r="L514" s="548">
        <v>42850</v>
      </c>
      <c r="M514" s="896">
        <v>42857</v>
      </c>
      <c r="N514" s="896">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1">
        <f t="shared" si="102"/>
        <v>43280</v>
      </c>
      <c r="U514" s="62">
        <f t="shared" si="92"/>
        <v>79230000</v>
      </c>
      <c r="V514" s="172">
        <f>VLOOKUP(E514,Modificaciones!$B$7:$AU$514,46,0)</f>
        <v>79230000</v>
      </c>
      <c r="W514" s="93">
        <f t="shared" si="101"/>
        <v>0</v>
      </c>
      <c r="X514" s="309" t="s">
        <v>1095</v>
      </c>
      <c r="Y514" s="878">
        <f t="shared" si="93"/>
        <v>1</v>
      </c>
      <c r="Z514" s="42">
        <f t="shared" ca="1" si="94"/>
        <v>1</v>
      </c>
      <c r="AA514" s="43">
        <f t="shared" ca="1" si="95"/>
        <v>0</v>
      </c>
      <c r="AB514" s="202" t="str">
        <f t="shared" ca="1" si="96"/>
        <v/>
      </c>
      <c r="AC514" s="44" t="str">
        <f t="shared" si="100"/>
        <v>SI</v>
      </c>
      <c r="AD514" s="762" t="s">
        <v>1714</v>
      </c>
      <c r="AE514" s="173" t="s">
        <v>1257</v>
      </c>
      <c r="AF514" s="173" t="s">
        <v>2178</v>
      </c>
      <c r="AG514" s="173" t="s">
        <v>1178</v>
      </c>
      <c r="AH514" s="281" t="s">
        <v>559</v>
      </c>
      <c r="AI514" s="174"/>
      <c r="AJ514" s="305" t="s">
        <v>2845</v>
      </c>
      <c r="AK514" s="181" t="str">
        <f t="shared" ca="1" si="97"/>
        <v>TERMINO</v>
      </c>
      <c r="AL514" s="181" t="s">
        <v>582</v>
      </c>
      <c r="AM514" s="176" t="s">
        <v>391</v>
      </c>
      <c r="AN514" s="872" t="str">
        <f>IFERROR(VLOOKUP(E514,'liquidaciones '!$B$2:$C$1048576,2,0),"NO")</f>
        <v>NO</v>
      </c>
      <c r="AO514" s="972" t="str">
        <f>IFERROR(VLOOKUP(E514,'liquidaciones '!$B$2:$I$1048576,8,0),"")</f>
        <v/>
      </c>
      <c r="AP514" s="435"/>
      <c r="AQ514" s="177" t="str">
        <f ca="1">IF((TODAY()-T514&lt;900),"SI","NO")</f>
        <v>SI</v>
      </c>
      <c r="AR514" s="435" t="s">
        <v>1511</v>
      </c>
      <c r="AS514" s="435"/>
      <c r="AT514" s="995" t="s">
        <v>3968</v>
      </c>
    </row>
    <row r="515" spans="3:46" ht="45" x14ac:dyDescent="0.25">
      <c r="C515" s="893">
        <v>246</v>
      </c>
      <c r="D515" s="893"/>
      <c r="E515" s="894" t="s">
        <v>2911</v>
      </c>
      <c r="F515" s="443" t="s">
        <v>3829</v>
      </c>
      <c r="G515" s="933">
        <v>79615371</v>
      </c>
      <c r="H515" s="1035" t="s">
        <v>2912</v>
      </c>
      <c r="I515" s="938">
        <v>57000000</v>
      </c>
      <c r="J515" s="899" t="s">
        <v>2911</v>
      </c>
      <c r="K515" s="295">
        <v>2017</v>
      </c>
      <c r="L515" s="548">
        <v>42850</v>
      </c>
      <c r="M515" s="896">
        <v>42857</v>
      </c>
      <c r="N515" s="896">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1">
        <f t="shared" si="102"/>
        <v>43280</v>
      </c>
      <c r="U515" s="62">
        <f t="shared" si="92"/>
        <v>79230000</v>
      </c>
      <c r="V515" s="172">
        <f>VLOOKUP(E515,Modificaciones!$B$7:$AU$515,46,0)</f>
        <v>76380000</v>
      </c>
      <c r="W515" s="93">
        <f t="shared" si="101"/>
        <v>2850000</v>
      </c>
      <c r="X515" s="309" t="s">
        <v>1095</v>
      </c>
      <c r="Y515" s="878">
        <f t="shared" si="93"/>
        <v>0.96402877697841727</v>
      </c>
      <c r="Z515" s="42">
        <f t="shared" ca="1" si="94"/>
        <v>1</v>
      </c>
      <c r="AA515" s="43">
        <f t="shared" ca="1" si="95"/>
        <v>3.5971223021582732E-2</v>
      </c>
      <c r="AB515" s="202" t="str">
        <f t="shared" ca="1" si="96"/>
        <v/>
      </c>
      <c r="AC515" s="44" t="str">
        <f t="shared" si="100"/>
        <v>NO</v>
      </c>
      <c r="AD515" s="762" t="s">
        <v>1714</v>
      </c>
      <c r="AE515" s="173" t="s">
        <v>1257</v>
      </c>
      <c r="AF515" s="173" t="s">
        <v>2596</v>
      </c>
      <c r="AG515" s="173" t="s">
        <v>1178</v>
      </c>
      <c r="AH515" s="281" t="s">
        <v>559</v>
      </c>
      <c r="AI515" s="305"/>
      <c r="AJ515" s="305" t="s">
        <v>2845</v>
      </c>
      <c r="AK515" s="181" t="str">
        <f t="shared" ca="1" si="97"/>
        <v>TERMINO</v>
      </c>
      <c r="AL515" s="310" t="s">
        <v>582</v>
      </c>
      <c r="AM515" s="176" t="s">
        <v>391</v>
      </c>
      <c r="AN515" s="872" t="str">
        <f>IFERROR(VLOOKUP(E515,'liquidaciones '!$B$2:$C$1048576,2,0),"NO")</f>
        <v>NO</v>
      </c>
      <c r="AO515" s="972" t="str">
        <f>IFERROR(VLOOKUP(E515,'liquidaciones '!$B$2:$I$1048576,8,0),"")</f>
        <v/>
      </c>
      <c r="AP515" s="435"/>
      <c r="AQ515" s="177" t="s">
        <v>390</v>
      </c>
      <c r="AR515" s="435" t="s">
        <v>3069</v>
      </c>
      <c r="AS515" s="435"/>
      <c r="AT515" s="995" t="s">
        <v>3968</v>
      </c>
    </row>
    <row r="516" spans="3:46" ht="65.25" customHeight="1" x14ac:dyDescent="0.25">
      <c r="C516" s="893"/>
      <c r="D516" s="893"/>
      <c r="E516" s="894" t="s">
        <v>2914</v>
      </c>
      <c r="F516" s="443" t="s">
        <v>2915</v>
      </c>
      <c r="G516" s="933" t="s">
        <v>2729</v>
      </c>
      <c r="H516" s="1035" t="s">
        <v>2916</v>
      </c>
      <c r="I516" s="938">
        <v>443322870</v>
      </c>
      <c r="J516" s="899" t="s">
        <v>2914</v>
      </c>
      <c r="K516" s="295">
        <v>2017</v>
      </c>
      <c r="L516" s="548">
        <v>42849</v>
      </c>
      <c r="M516" s="896">
        <v>42857</v>
      </c>
      <c r="N516" s="896">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1">
        <f t="shared" si="102"/>
        <v>43375</v>
      </c>
      <c r="U516" s="62">
        <f t="shared" si="92"/>
        <v>634424918</v>
      </c>
      <c r="V516" s="172">
        <f>VLOOKUP(E516,Modificaciones!$B$7:$AU$516,46,0)</f>
        <v>516258602</v>
      </c>
      <c r="W516" s="93">
        <f t="shared" si="101"/>
        <v>118166316</v>
      </c>
      <c r="X516" s="925" t="s">
        <v>2917</v>
      </c>
      <c r="Y516" s="878">
        <f t="shared" si="93"/>
        <v>0.81374263108625255</v>
      </c>
      <c r="Z516" s="42">
        <f t="shared" ca="1" si="94"/>
        <v>1</v>
      </c>
      <c r="AA516" s="43">
        <f t="shared" ca="1" si="95"/>
        <v>0.18625736891374745</v>
      </c>
      <c r="AB516" s="202" t="str">
        <f t="shared" ca="1" si="96"/>
        <v/>
      </c>
      <c r="AC516" s="44" t="str">
        <f t="shared" si="100"/>
        <v>NO</v>
      </c>
      <c r="AD516" s="762" t="s">
        <v>1713</v>
      </c>
      <c r="AE516" s="173" t="s">
        <v>1258</v>
      </c>
      <c r="AF516" s="281" t="s">
        <v>2188</v>
      </c>
      <c r="AG516" s="173" t="s">
        <v>1440</v>
      </c>
      <c r="AH516" s="281" t="s">
        <v>560</v>
      </c>
      <c r="AI516" s="305" t="s">
        <v>1510</v>
      </c>
      <c r="AJ516" s="305" t="s">
        <v>3821</v>
      </c>
      <c r="AK516" s="181" t="str">
        <f t="shared" ca="1" si="97"/>
        <v>TERMINO</v>
      </c>
      <c r="AL516" s="310" t="s">
        <v>573</v>
      </c>
      <c r="AM516" s="435" t="s">
        <v>390</v>
      </c>
      <c r="AN516" s="872" t="str">
        <f>IFERROR(VLOOKUP(E516,'liquidaciones '!$B$2:$C$1048576,2,0),"NO")</f>
        <v>NO</v>
      </c>
      <c r="AO516" s="972" t="str">
        <f>IFERROR(VLOOKUP(E516,'liquidaciones '!$B$2:$I$1048576,8,0),"")</f>
        <v/>
      </c>
      <c r="AP516" s="435"/>
      <c r="AQ516" s="435" t="s">
        <v>390</v>
      </c>
      <c r="AR516" s="177" t="s">
        <v>3535</v>
      </c>
      <c r="AS516" s="435" t="s">
        <v>3804</v>
      </c>
      <c r="AT516" s="995" t="s">
        <v>560</v>
      </c>
    </row>
    <row r="517" spans="3:46" ht="33.75" x14ac:dyDescent="0.25">
      <c r="C517" s="893">
        <v>70</v>
      </c>
      <c r="D517" s="893"/>
      <c r="E517" s="894" t="s">
        <v>2924</v>
      </c>
      <c r="F517" s="443" t="s">
        <v>1034</v>
      </c>
      <c r="G517" s="933">
        <v>79887061</v>
      </c>
      <c r="H517" s="1035" t="s">
        <v>2925</v>
      </c>
      <c r="I517" s="938">
        <v>38999996</v>
      </c>
      <c r="J517" s="899" t="s">
        <v>2924</v>
      </c>
      <c r="K517" s="295">
        <v>2017</v>
      </c>
      <c r="L517" s="548">
        <v>42850</v>
      </c>
      <c r="M517" s="896">
        <v>42858</v>
      </c>
      <c r="N517" s="896">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1">
        <f t="shared" si="102"/>
        <v>43134</v>
      </c>
      <c r="U517" s="62">
        <f t="shared" si="92"/>
        <v>38999996</v>
      </c>
      <c r="V517" s="172">
        <f>VLOOKUP(E517,Modificaciones!$B$7:$AU$517,46,0)</f>
        <v>11711109</v>
      </c>
      <c r="W517" s="93">
        <f t="shared" si="101"/>
        <v>27288887</v>
      </c>
      <c r="X517" s="309" t="s">
        <v>1095</v>
      </c>
      <c r="Y517" s="878">
        <f t="shared" si="93"/>
        <v>0.30028487695229505</v>
      </c>
      <c r="Z517" s="42">
        <f t="shared" ca="1" si="94"/>
        <v>1</v>
      </c>
      <c r="AA517" s="43">
        <f t="shared" ca="1" si="95"/>
        <v>0.699715123047705</v>
      </c>
      <c r="AB517" s="202" t="str">
        <f t="shared" ca="1" si="96"/>
        <v/>
      </c>
      <c r="AC517" s="44" t="str">
        <f t="shared" si="100"/>
        <v>NO</v>
      </c>
      <c r="AD517" s="762" t="s">
        <v>1714</v>
      </c>
      <c r="AE517" s="173" t="s">
        <v>1257</v>
      </c>
      <c r="AF517" s="173" t="s">
        <v>2182</v>
      </c>
      <c r="AG517" s="173" t="s">
        <v>1440</v>
      </c>
      <c r="AH517" s="281" t="s">
        <v>560</v>
      </c>
      <c r="AI517" s="305" t="s">
        <v>1510</v>
      </c>
      <c r="AJ517" s="305" t="s">
        <v>3821</v>
      </c>
      <c r="AK517" s="181" t="str">
        <f t="shared" ca="1" si="97"/>
        <v>TERMINO</v>
      </c>
      <c r="AL517" s="181" t="s">
        <v>582</v>
      </c>
      <c r="AM517" s="176" t="s">
        <v>391</v>
      </c>
      <c r="AN517" s="872" t="str">
        <f>IFERROR(VLOOKUP(E517,'liquidaciones '!$B$2:$C$1048576,2,0),"NO")</f>
        <v>LIQUIDADO</v>
      </c>
      <c r="AO517" s="972">
        <f>IFERROR(VLOOKUP(E517,'liquidaciones '!$B$2:$I$1048576,8,0),"")</f>
        <v>0</v>
      </c>
      <c r="AP517" s="435"/>
      <c r="AQ517" s="177" t="str">
        <f ca="1">IF((TODAY()-T517&lt;900),"SI","NO")</f>
        <v>SI</v>
      </c>
      <c r="AR517" s="435" t="s">
        <v>3069</v>
      </c>
      <c r="AS517" s="435" t="s">
        <v>3804</v>
      </c>
      <c r="AT517" s="995" t="s">
        <v>560</v>
      </c>
    </row>
    <row r="518" spans="3:46" ht="45" x14ac:dyDescent="0.25">
      <c r="C518" s="893"/>
      <c r="D518" s="893"/>
      <c r="E518" s="894" t="s">
        <v>2926</v>
      </c>
      <c r="F518" s="443" t="s">
        <v>2927</v>
      </c>
      <c r="G518" s="933">
        <v>41690000</v>
      </c>
      <c r="H518" s="1035" t="s">
        <v>2928</v>
      </c>
      <c r="I518" s="938">
        <v>38999997</v>
      </c>
      <c r="J518" s="899" t="s">
        <v>2926</v>
      </c>
      <c r="K518" s="295">
        <v>2017</v>
      </c>
      <c r="L518" s="548">
        <v>42857</v>
      </c>
      <c r="M518" s="896">
        <v>42858</v>
      </c>
      <c r="N518" s="896">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1">
        <f t="shared" si="102"/>
        <v>43269</v>
      </c>
      <c r="U518" s="62">
        <f t="shared" si="92"/>
        <v>58499996</v>
      </c>
      <c r="V518" s="172">
        <f>VLOOKUP(E518,Modificaciones!$B$7:$AU$518,46,0)</f>
        <v>58499995</v>
      </c>
      <c r="W518" s="93">
        <f t="shared" si="101"/>
        <v>1</v>
      </c>
      <c r="X518" s="309" t="s">
        <v>1095</v>
      </c>
      <c r="Y518" s="878">
        <f t="shared" si="93"/>
        <v>0.99999998290598169</v>
      </c>
      <c r="Z518" s="42">
        <f t="shared" ca="1" si="94"/>
        <v>1</v>
      </c>
      <c r="AA518" s="43">
        <f t="shared" ca="1" si="95"/>
        <v>1.7094018311958337E-8</v>
      </c>
      <c r="AB518" s="202" t="str">
        <f t="shared" ca="1" si="96"/>
        <v/>
      </c>
      <c r="AC518" s="44" t="str">
        <f t="shared" si="100"/>
        <v>SI</v>
      </c>
      <c r="AD518" s="762" t="s">
        <v>1714</v>
      </c>
      <c r="AE518" s="173" t="s">
        <v>1257</v>
      </c>
      <c r="AF518" s="173" t="s">
        <v>2182</v>
      </c>
      <c r="AG518" s="173" t="s">
        <v>1440</v>
      </c>
      <c r="AH518" s="281" t="s">
        <v>560</v>
      </c>
      <c r="AI518" s="894"/>
      <c r="AJ518" s="305" t="s">
        <v>3822</v>
      </c>
      <c r="AK518" s="181" t="str">
        <f t="shared" ca="1" si="97"/>
        <v>TERMINO</v>
      </c>
      <c r="AL518" s="181" t="s">
        <v>582</v>
      </c>
      <c r="AM518" s="435" t="s">
        <v>391</v>
      </c>
      <c r="AN518" s="872" t="str">
        <f>IFERROR(VLOOKUP(E518,'liquidaciones '!$B$2:$C$1048576,2,0),"NO")</f>
        <v>NO</v>
      </c>
      <c r="AO518" s="972" t="str">
        <f>IFERROR(VLOOKUP(E518,'liquidaciones '!$B$2:$I$1048576,8,0),"")</f>
        <v/>
      </c>
      <c r="AP518" s="435"/>
      <c r="AQ518" s="435" t="s">
        <v>390</v>
      </c>
      <c r="AR518" s="177" t="s">
        <v>2991</v>
      </c>
      <c r="AS518" s="435"/>
      <c r="AT518" s="995" t="s">
        <v>4015</v>
      </c>
    </row>
    <row r="519" spans="3:46" ht="45" customHeight="1" x14ac:dyDescent="0.25">
      <c r="C519" s="893">
        <v>144</v>
      </c>
      <c r="D519" s="893"/>
      <c r="E519" s="894" t="s">
        <v>2929</v>
      </c>
      <c r="F519" s="443" t="s">
        <v>2930</v>
      </c>
      <c r="G519" s="933">
        <v>1013625644</v>
      </c>
      <c r="H519" s="1033" t="s">
        <v>2488</v>
      </c>
      <c r="I519" s="938">
        <v>22500000</v>
      </c>
      <c r="J519" s="899" t="s">
        <v>2929</v>
      </c>
      <c r="K519" s="295">
        <v>2017</v>
      </c>
      <c r="L519" s="548">
        <v>42853</v>
      </c>
      <c r="M519" s="891">
        <v>42863</v>
      </c>
      <c r="N519" s="891">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1">
        <f t="shared" si="102"/>
        <v>43273</v>
      </c>
      <c r="U519" s="62">
        <f t="shared" ref="U519:U582" si="103">I519+P519</f>
        <v>33666667</v>
      </c>
      <c r="V519" s="172">
        <f>VLOOKUP(E519,Modificaciones!$B$7:$AU$519,46,0)</f>
        <v>33666667</v>
      </c>
      <c r="W519" s="93">
        <f t="shared" si="101"/>
        <v>0</v>
      </c>
      <c r="X519" s="309" t="s">
        <v>1095</v>
      </c>
      <c r="Y519" s="878">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1714</v>
      </c>
      <c r="AE519" s="173" t="s">
        <v>1257</v>
      </c>
      <c r="AF519" s="173" t="s">
        <v>2183</v>
      </c>
      <c r="AG519" s="173" t="s">
        <v>1178</v>
      </c>
      <c r="AH519" s="281" t="s">
        <v>559</v>
      </c>
      <c r="AI519" s="894"/>
      <c r="AJ519" s="305" t="s">
        <v>2845</v>
      </c>
      <c r="AK519" s="181" t="str">
        <f t="shared" ref="AK519:AK582" ca="1" si="108">IF(T519&gt;=$F$3,"EN EJECUCIÓN","TERMINO")</f>
        <v>TERMINO</v>
      </c>
      <c r="AL519" s="310" t="s">
        <v>582</v>
      </c>
      <c r="AM519" s="176" t="s">
        <v>391</v>
      </c>
      <c r="AN519" s="872" t="str">
        <f>IFERROR(VLOOKUP(E519,'liquidaciones '!$B$2:$C$1048576,2,0),"NO")</f>
        <v>NO</v>
      </c>
      <c r="AO519" s="972" t="str">
        <f>IFERROR(VLOOKUP(E519,'liquidaciones '!$B$2:$I$1048576,8,0),"")</f>
        <v/>
      </c>
      <c r="AP519" s="435"/>
      <c r="AQ519" s="177" t="s">
        <v>390</v>
      </c>
      <c r="AR519" s="435" t="s">
        <v>3069</v>
      </c>
      <c r="AS519" s="435"/>
      <c r="AT519" s="995" t="s">
        <v>3968</v>
      </c>
    </row>
    <row r="520" spans="3:46" ht="56.25" x14ac:dyDescent="0.25">
      <c r="C520" s="893">
        <v>142</v>
      </c>
      <c r="D520" s="893"/>
      <c r="E520" s="894" t="s">
        <v>2932</v>
      </c>
      <c r="F520" s="443" t="s">
        <v>2933</v>
      </c>
      <c r="G520" s="933">
        <v>1018414979</v>
      </c>
      <c r="H520" s="1035" t="s">
        <v>1546</v>
      </c>
      <c r="I520" s="938">
        <v>51300000</v>
      </c>
      <c r="J520" s="899" t="s">
        <v>2932</v>
      </c>
      <c r="K520" s="295">
        <v>2017</v>
      </c>
      <c r="L520" s="548">
        <v>42852</v>
      </c>
      <c r="M520" s="896">
        <v>42863</v>
      </c>
      <c r="N520" s="896">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1">
        <f t="shared" si="102"/>
        <v>43273</v>
      </c>
      <c r="U520" s="62">
        <f t="shared" si="103"/>
        <v>76760000</v>
      </c>
      <c r="V520" s="172">
        <f>VLOOKUP(E520,Modificaciones!$B$7:$AU$520,46,0)</f>
        <v>76760000</v>
      </c>
      <c r="W520" s="93">
        <f t="shared" si="101"/>
        <v>0</v>
      </c>
      <c r="X520" s="309" t="s">
        <v>1095</v>
      </c>
      <c r="Y520" s="878">
        <f t="shared" si="104"/>
        <v>1</v>
      </c>
      <c r="Z520" s="42">
        <f t="shared" ca="1" si="105"/>
        <v>1</v>
      </c>
      <c r="AA520" s="43">
        <f t="shared" ca="1" si="106"/>
        <v>0</v>
      </c>
      <c r="AB520" s="202" t="str">
        <f t="shared" ca="1" si="107"/>
        <v/>
      </c>
      <c r="AC520" s="44" t="str">
        <f t="shared" si="100"/>
        <v>SI</v>
      </c>
      <c r="AD520" s="762" t="s">
        <v>1714</v>
      </c>
      <c r="AE520" s="173" t="s">
        <v>1257</v>
      </c>
      <c r="AF520" s="173" t="s">
        <v>2174</v>
      </c>
      <c r="AG520" s="173" t="s">
        <v>1178</v>
      </c>
      <c r="AH520" s="281" t="s">
        <v>559</v>
      </c>
      <c r="AI520" s="305"/>
      <c r="AJ520" s="305" t="s">
        <v>2845</v>
      </c>
      <c r="AK520" s="181" t="str">
        <f t="shared" ca="1" si="108"/>
        <v>TERMINO</v>
      </c>
      <c r="AL520" s="310" t="s">
        <v>582</v>
      </c>
      <c r="AM520" s="176" t="s">
        <v>391</v>
      </c>
      <c r="AN520" s="872" t="str">
        <f>IFERROR(VLOOKUP(E520,'liquidaciones '!$B$2:$C$1048576,2,0),"NO")</f>
        <v>NO</v>
      </c>
      <c r="AO520" s="972" t="str">
        <f>IFERROR(VLOOKUP(E520,'liquidaciones '!$B$2:$I$1048576,8,0),"")</f>
        <v/>
      </c>
      <c r="AP520" s="435"/>
      <c r="AQ520" s="177" t="str">
        <f ca="1">IF((TODAY()-T520&lt;900),"SI","NO")</f>
        <v>SI</v>
      </c>
      <c r="AR520" s="435" t="s">
        <v>3069</v>
      </c>
      <c r="AS520" s="435"/>
      <c r="AT520" s="995" t="s">
        <v>3968</v>
      </c>
    </row>
    <row r="521" spans="3:46" ht="33.75" x14ac:dyDescent="0.25">
      <c r="C521" s="893">
        <v>245</v>
      </c>
      <c r="D521" s="893"/>
      <c r="E521" s="894" t="s">
        <v>2935</v>
      </c>
      <c r="F521" s="443" t="s">
        <v>2936</v>
      </c>
      <c r="G521" s="933">
        <v>1030565608</v>
      </c>
      <c r="H521" s="1033" t="s">
        <v>3052</v>
      </c>
      <c r="I521" s="938">
        <v>38140000</v>
      </c>
      <c r="J521" s="899" t="s">
        <v>2935</v>
      </c>
      <c r="K521" s="295">
        <v>2017</v>
      </c>
      <c r="L521" s="548">
        <v>42860</v>
      </c>
      <c r="M521" s="896">
        <v>42873</v>
      </c>
      <c r="N521" s="896">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1">
        <f t="shared" si="102"/>
        <v>43278</v>
      </c>
      <c r="U521" s="62">
        <f t="shared" si="103"/>
        <v>50726200</v>
      </c>
      <c r="V521" s="172">
        <f>VLOOKUP(E521,Modificaciones!$B$7:$AU$521,46,0)</f>
        <v>50726200</v>
      </c>
      <c r="W521" s="93">
        <f t="shared" si="101"/>
        <v>0</v>
      </c>
      <c r="X521" s="309" t="s">
        <v>2617</v>
      </c>
      <c r="Y521" s="878">
        <f t="shared" si="104"/>
        <v>1</v>
      </c>
      <c r="Z521" s="42">
        <f t="shared" ca="1" si="105"/>
        <v>1</v>
      </c>
      <c r="AA521" s="43">
        <f t="shared" ca="1" si="106"/>
        <v>0</v>
      </c>
      <c r="AB521" s="202" t="str">
        <f t="shared" ca="1" si="107"/>
        <v/>
      </c>
      <c r="AC521" s="44" t="str">
        <f t="shared" si="100"/>
        <v>SI</v>
      </c>
      <c r="AD521" s="762" t="s">
        <v>1714</v>
      </c>
      <c r="AE521" s="173" t="s">
        <v>1258</v>
      </c>
      <c r="AF521" s="173" t="s">
        <v>2176</v>
      </c>
      <c r="AG521" s="173" t="s">
        <v>1178</v>
      </c>
      <c r="AH521" s="281" t="s">
        <v>559</v>
      </c>
      <c r="AI521" s="305"/>
      <c r="AJ521" s="305" t="s">
        <v>3821</v>
      </c>
      <c r="AK521" s="181" t="str">
        <f t="shared" ca="1" si="108"/>
        <v>TERMINO</v>
      </c>
      <c r="AL521" s="181" t="s">
        <v>582</v>
      </c>
      <c r="AM521" s="435" t="s">
        <v>391</v>
      </c>
      <c r="AN521" s="872" t="str">
        <f>IFERROR(VLOOKUP(E521,'liquidaciones '!$B$2:$C$1048576,2,0),"NO")</f>
        <v>NO</v>
      </c>
      <c r="AO521" s="972" t="str">
        <f>IFERROR(VLOOKUP(E521,'liquidaciones '!$B$2:$I$1048576,8,0),"")</f>
        <v/>
      </c>
      <c r="AP521" s="435"/>
      <c r="AQ521" s="177" t="s">
        <v>390</v>
      </c>
      <c r="AR521" s="177" t="s">
        <v>3803</v>
      </c>
      <c r="AS521" s="435" t="s">
        <v>3804</v>
      </c>
      <c r="AT521" s="995" t="s">
        <v>560</v>
      </c>
    </row>
    <row r="522" spans="3:46" ht="30" x14ac:dyDescent="0.25">
      <c r="C522" s="893">
        <v>176</v>
      </c>
      <c r="D522" s="893"/>
      <c r="E522" s="894" t="s">
        <v>2938</v>
      </c>
      <c r="F522" s="443" t="s">
        <v>277</v>
      </c>
      <c r="G522" s="933" t="s">
        <v>2939</v>
      </c>
      <c r="H522" s="1033" t="s">
        <v>2940</v>
      </c>
      <c r="I522" s="938">
        <v>50703000</v>
      </c>
      <c r="J522" s="899" t="s">
        <v>2941</v>
      </c>
      <c r="K522" s="295">
        <v>2017</v>
      </c>
      <c r="L522" s="548">
        <v>42846</v>
      </c>
      <c r="M522" s="896">
        <v>42874</v>
      </c>
      <c r="N522" s="896">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1">
        <f t="shared" si="102"/>
        <v>43239</v>
      </c>
      <c r="U522" s="62">
        <f t="shared" si="103"/>
        <v>56703000</v>
      </c>
      <c r="V522" s="172">
        <f>VLOOKUP(E522,Modificaciones!$B$7:$AU$522,46,0)</f>
        <v>30742379</v>
      </c>
      <c r="W522" s="93">
        <f t="shared" si="101"/>
        <v>25960621</v>
      </c>
      <c r="X522" s="309" t="s">
        <v>1970</v>
      </c>
      <c r="Y522" s="878">
        <f t="shared" si="104"/>
        <v>0.54216494718092512</v>
      </c>
      <c r="Z522" s="42">
        <f t="shared" ca="1" si="105"/>
        <v>1</v>
      </c>
      <c r="AA522" s="43">
        <f t="shared" ca="1" si="106"/>
        <v>0.45783505281907488</v>
      </c>
      <c r="AB522" s="202" t="str">
        <f t="shared" ca="1" si="107"/>
        <v/>
      </c>
      <c r="AC522" s="44" t="str">
        <f t="shared" si="100"/>
        <v>NO</v>
      </c>
      <c r="AD522" s="762" t="s">
        <v>1716</v>
      </c>
      <c r="AE522" s="173" t="s">
        <v>1257</v>
      </c>
      <c r="AF522" s="281" t="s">
        <v>1136</v>
      </c>
      <c r="AG522" s="173"/>
      <c r="AH522" s="281" t="s">
        <v>562</v>
      </c>
      <c r="AI522" s="305" t="s">
        <v>3810</v>
      </c>
      <c r="AJ522" s="305" t="s">
        <v>3822</v>
      </c>
      <c r="AK522" s="181" t="str">
        <f t="shared" ca="1" si="108"/>
        <v>TERMINO</v>
      </c>
      <c r="AL522" s="181" t="s">
        <v>576</v>
      </c>
      <c r="AM522" s="435" t="s">
        <v>390</v>
      </c>
      <c r="AN522" s="872" t="str">
        <f>IFERROR(VLOOKUP(E522,'liquidaciones '!$B$2:$C$1048576,2,0),"NO")</f>
        <v>NO</v>
      </c>
      <c r="AO522" s="972" t="str">
        <f>IFERROR(VLOOKUP(E522,'liquidaciones '!$B$2:$I$1048576,8,0),"")</f>
        <v/>
      </c>
      <c r="AP522" s="435"/>
      <c r="AQ522" s="435" t="s">
        <v>390</v>
      </c>
      <c r="AR522" s="177" t="s">
        <v>2991</v>
      </c>
      <c r="AS522" s="435" t="s">
        <v>3810</v>
      </c>
      <c r="AT522" s="995" t="s">
        <v>4015</v>
      </c>
    </row>
    <row r="523" spans="3:46" ht="78.75" x14ac:dyDescent="0.25">
      <c r="C523" s="893">
        <v>201</v>
      </c>
      <c r="D523" s="893"/>
      <c r="E523" s="894" t="s">
        <v>2943</v>
      </c>
      <c r="F523" s="443" t="s">
        <v>2944</v>
      </c>
      <c r="G523" s="933" t="s">
        <v>2945</v>
      </c>
      <c r="H523" s="1033" t="s">
        <v>3063</v>
      </c>
      <c r="I523" s="938">
        <v>119000000</v>
      </c>
      <c r="J523" s="899" t="s">
        <v>2942</v>
      </c>
      <c r="K523" s="295">
        <v>2017</v>
      </c>
      <c r="L523" s="548">
        <v>42863</v>
      </c>
      <c r="M523" s="896">
        <v>42872</v>
      </c>
      <c r="N523" s="896">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1">
        <f t="shared" si="102"/>
        <v>43176</v>
      </c>
      <c r="U523" s="62">
        <f t="shared" si="103"/>
        <v>119000000</v>
      </c>
      <c r="V523" s="172">
        <f>VLOOKUP(E523,Modificaciones!$B$7:$AU$523,46,0)</f>
        <v>72104262</v>
      </c>
      <c r="W523" s="93">
        <f t="shared" si="101"/>
        <v>46895738</v>
      </c>
      <c r="X523" s="309" t="s">
        <v>2014</v>
      </c>
      <c r="Y523" s="878">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3821</v>
      </c>
      <c r="AK523" s="181" t="str">
        <f t="shared" ca="1" si="108"/>
        <v>TERMINO</v>
      </c>
      <c r="AL523" s="310" t="s">
        <v>574</v>
      </c>
      <c r="AM523" s="176" t="s">
        <v>390</v>
      </c>
      <c r="AN523" s="872" t="str">
        <f>IFERROR(VLOOKUP(E523,'liquidaciones '!$B$2:$C$1048576,2,0),"NO")</f>
        <v>LIQUIDADO</v>
      </c>
      <c r="AO523" s="972">
        <f>IFERROR(VLOOKUP(E523,'liquidaciones '!$B$2:$I$1048576,8,0),"")</f>
        <v>0</v>
      </c>
      <c r="AP523" s="435"/>
      <c r="AQ523" s="177" t="s">
        <v>390</v>
      </c>
      <c r="AR523" s="435" t="s">
        <v>3069</v>
      </c>
      <c r="AS523" s="435" t="s">
        <v>1380</v>
      </c>
      <c r="AT523" s="995" t="s">
        <v>560</v>
      </c>
    </row>
    <row r="524" spans="3:46" ht="78.75" x14ac:dyDescent="0.25">
      <c r="C524" s="893"/>
      <c r="D524" s="893"/>
      <c r="E524" s="894" t="s">
        <v>2947</v>
      </c>
      <c r="F524" s="443" t="s">
        <v>2948</v>
      </c>
      <c r="G524" s="933">
        <v>1022375085</v>
      </c>
      <c r="H524" s="1033" t="s">
        <v>2949</v>
      </c>
      <c r="I524" s="938">
        <v>38999997</v>
      </c>
      <c r="J524" s="899" t="s">
        <v>2947</v>
      </c>
      <c r="K524" s="295">
        <v>2017</v>
      </c>
      <c r="L524" s="548">
        <v>42871</v>
      </c>
      <c r="M524" s="896">
        <v>42872</v>
      </c>
      <c r="N524" s="896">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1">
        <f t="shared" si="102"/>
        <v>43280</v>
      </c>
      <c r="U524" s="62">
        <f t="shared" si="103"/>
        <v>58066662</v>
      </c>
      <c r="V524" s="172">
        <f>VLOOKUP(E524,Modificaciones!$B$7:$AU$524,46,0)</f>
        <v>58066662</v>
      </c>
      <c r="W524" s="93">
        <f t="shared" si="101"/>
        <v>0</v>
      </c>
      <c r="X524" s="309" t="s">
        <v>1095</v>
      </c>
      <c r="Y524" s="878">
        <f t="shared" si="104"/>
        <v>1</v>
      </c>
      <c r="Z524" s="42">
        <f t="shared" ca="1" si="105"/>
        <v>1</v>
      </c>
      <c r="AA524" s="43">
        <f t="shared" ca="1" si="106"/>
        <v>0</v>
      </c>
      <c r="AB524" s="202" t="str">
        <f t="shared" ca="1" si="107"/>
        <v/>
      </c>
      <c r="AC524" s="44" t="str">
        <f t="shared" si="100"/>
        <v>SI</v>
      </c>
      <c r="AD524" s="762" t="s">
        <v>1714</v>
      </c>
      <c r="AE524" s="173" t="s">
        <v>1257</v>
      </c>
      <c r="AF524" s="173" t="s">
        <v>2596</v>
      </c>
      <c r="AG524" s="173" t="s">
        <v>1178</v>
      </c>
      <c r="AH524" s="281" t="s">
        <v>559</v>
      </c>
      <c r="AI524" s="305"/>
      <c r="AJ524" s="305" t="s">
        <v>2845</v>
      </c>
      <c r="AK524" s="181" t="str">
        <f t="shared" ca="1" si="108"/>
        <v>TERMINO</v>
      </c>
      <c r="AL524" s="181" t="s">
        <v>582</v>
      </c>
      <c r="AM524" s="435" t="s">
        <v>391</v>
      </c>
      <c r="AN524" s="872" t="str">
        <f>IFERROR(VLOOKUP(E524,'liquidaciones '!$B$2:$C$1048576,2,0),"NO")</f>
        <v>NO</v>
      </c>
      <c r="AO524" s="972" t="str">
        <f>IFERROR(VLOOKUP(E524,'liquidaciones '!$B$2:$I$1048576,8,0),"")</f>
        <v/>
      </c>
      <c r="AP524" s="435"/>
      <c r="AQ524" s="177" t="s">
        <v>390</v>
      </c>
      <c r="AR524" s="435" t="s">
        <v>3069</v>
      </c>
      <c r="AS524" s="435"/>
      <c r="AT524" s="995" t="s">
        <v>3968</v>
      </c>
    </row>
    <row r="525" spans="3:46" ht="33.75" x14ac:dyDescent="0.25">
      <c r="C525" s="893"/>
      <c r="D525" s="893"/>
      <c r="E525" s="894" t="s">
        <v>2950</v>
      </c>
      <c r="F525" s="443" t="s">
        <v>2951</v>
      </c>
      <c r="G525" s="933">
        <v>80880912</v>
      </c>
      <c r="H525" s="1035" t="s">
        <v>2952</v>
      </c>
      <c r="I525" s="938">
        <v>16875000</v>
      </c>
      <c r="J525" s="899" t="s">
        <v>2950</v>
      </c>
      <c r="K525" s="295">
        <v>2017</v>
      </c>
      <c r="L525" s="548">
        <v>42870</v>
      </c>
      <c r="M525" s="896">
        <v>42874</v>
      </c>
      <c r="N525" s="896">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1">
        <f t="shared" si="102"/>
        <v>43280</v>
      </c>
      <c r="U525" s="62">
        <f t="shared" si="103"/>
        <v>25000000</v>
      </c>
      <c r="V525" s="172">
        <f>VLOOKUP(E525,Modificaciones!$B$7:$AU$525,46,0)</f>
        <v>25000000</v>
      </c>
      <c r="W525" s="93">
        <f t="shared" si="101"/>
        <v>0</v>
      </c>
      <c r="X525" s="309" t="s">
        <v>1095</v>
      </c>
      <c r="Y525" s="878">
        <f t="shared" si="104"/>
        <v>1</v>
      </c>
      <c r="Z525" s="42">
        <f t="shared" ca="1" si="105"/>
        <v>1</v>
      </c>
      <c r="AA525" s="43">
        <f t="shared" ca="1" si="106"/>
        <v>0</v>
      </c>
      <c r="AB525" s="202" t="str">
        <f t="shared" ca="1" si="107"/>
        <v/>
      </c>
      <c r="AC525" s="44" t="str">
        <f t="shared" si="100"/>
        <v>SI</v>
      </c>
      <c r="AD525" s="762" t="s">
        <v>1714</v>
      </c>
      <c r="AE525" s="173" t="s">
        <v>1257</v>
      </c>
      <c r="AF525" s="926" t="s">
        <v>2953</v>
      </c>
      <c r="AG525" s="173" t="s">
        <v>1178</v>
      </c>
      <c r="AH525" s="281" t="s">
        <v>559</v>
      </c>
      <c r="AI525" s="894"/>
      <c r="AJ525" s="305" t="s">
        <v>2845</v>
      </c>
      <c r="AK525" s="181" t="str">
        <f t="shared" ca="1" si="108"/>
        <v>TERMINO</v>
      </c>
      <c r="AL525" s="181" t="s">
        <v>582</v>
      </c>
      <c r="AM525" s="435" t="s">
        <v>391</v>
      </c>
      <c r="AN525" s="872" t="str">
        <f>IFERROR(VLOOKUP(E525,'liquidaciones '!$B$2:$C$1048576,2,0),"NO")</f>
        <v>NO</v>
      </c>
      <c r="AO525" s="972" t="str">
        <f>IFERROR(VLOOKUP(E525,'liquidaciones '!$B$2:$I$1048576,8,0),"")</f>
        <v/>
      </c>
      <c r="AP525" s="435"/>
      <c r="AQ525" s="177" t="s">
        <v>390</v>
      </c>
      <c r="AR525" s="435" t="s">
        <v>1511</v>
      </c>
      <c r="AS525" s="435"/>
      <c r="AT525" s="995" t="s">
        <v>3968</v>
      </c>
    </row>
    <row r="526" spans="3:46" ht="45" x14ac:dyDescent="0.25">
      <c r="C526" s="893">
        <v>149</v>
      </c>
      <c r="D526" s="893"/>
      <c r="E526" s="894" t="s">
        <v>2954</v>
      </c>
      <c r="F526" s="443" t="s">
        <v>2955</v>
      </c>
      <c r="G526" s="933">
        <v>52144330</v>
      </c>
      <c r="H526" s="1035" t="s">
        <v>3064</v>
      </c>
      <c r="I526" s="938">
        <v>51300000</v>
      </c>
      <c r="J526" s="899" t="s">
        <v>2954</v>
      </c>
      <c r="K526" s="295">
        <v>2017</v>
      </c>
      <c r="L526" s="548">
        <v>42871</v>
      </c>
      <c r="M526" s="896">
        <v>42873</v>
      </c>
      <c r="N526" s="896">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1">
        <f t="shared" si="102"/>
        <v>43280</v>
      </c>
      <c r="U526" s="62">
        <f t="shared" si="103"/>
        <v>76190000</v>
      </c>
      <c r="V526" s="172">
        <f>VLOOKUP(E526,Modificaciones!$B$7:$AU$526,46,0)</f>
        <v>76190000</v>
      </c>
      <c r="W526" s="93">
        <f t="shared" si="101"/>
        <v>0</v>
      </c>
      <c r="X526" s="309" t="s">
        <v>1095</v>
      </c>
      <c r="Y526" s="878">
        <f t="shared" si="104"/>
        <v>1</v>
      </c>
      <c r="Z526" s="42">
        <f t="shared" ca="1" si="105"/>
        <v>1</v>
      </c>
      <c r="AA526" s="43">
        <f t="shared" ca="1" si="106"/>
        <v>0</v>
      </c>
      <c r="AB526" s="202" t="str">
        <f t="shared" ca="1" si="107"/>
        <v/>
      </c>
      <c r="AC526" s="44" t="str">
        <f t="shared" si="100"/>
        <v>SI</v>
      </c>
      <c r="AD526" s="762" t="s">
        <v>1714</v>
      </c>
      <c r="AE526" s="173" t="s">
        <v>1257</v>
      </c>
      <c r="AF526" s="173" t="s">
        <v>2497</v>
      </c>
      <c r="AG526" s="173" t="s">
        <v>2504</v>
      </c>
      <c r="AH526" s="281" t="s">
        <v>565</v>
      </c>
      <c r="AI526" s="305"/>
      <c r="AJ526" s="305" t="s">
        <v>2845</v>
      </c>
      <c r="AK526" s="181" t="str">
        <f t="shared" ca="1" si="108"/>
        <v>TERMINO</v>
      </c>
      <c r="AL526" s="310" t="s">
        <v>582</v>
      </c>
      <c r="AM526" s="176" t="s">
        <v>391</v>
      </c>
      <c r="AN526" s="872" t="str">
        <f>IFERROR(VLOOKUP(E526,'liquidaciones '!$B$2:$C$1048576,2,0),"NO")</f>
        <v>NO</v>
      </c>
      <c r="AO526" s="972" t="str">
        <f>IFERROR(VLOOKUP(E526,'liquidaciones '!$B$2:$I$1048576,8,0),"")</f>
        <v/>
      </c>
      <c r="AP526" s="435"/>
      <c r="AQ526" s="177" t="s">
        <v>390</v>
      </c>
      <c r="AR526" s="435" t="s">
        <v>3069</v>
      </c>
      <c r="AS526" s="435"/>
      <c r="AT526" s="995" t="s">
        <v>3968</v>
      </c>
    </row>
    <row r="527" spans="3:46" ht="56.25" x14ac:dyDescent="0.25">
      <c r="C527" s="893">
        <v>163</v>
      </c>
      <c r="D527" s="893"/>
      <c r="E527" s="894" t="s">
        <v>2956</v>
      </c>
      <c r="F527" s="443" t="s">
        <v>2957</v>
      </c>
      <c r="G527" s="933">
        <v>1126599090</v>
      </c>
      <c r="H527" s="1035" t="s">
        <v>2958</v>
      </c>
      <c r="I527" s="938">
        <v>13500000</v>
      </c>
      <c r="J527" s="899" t="s">
        <v>2956</v>
      </c>
      <c r="K527" s="295">
        <v>2017</v>
      </c>
      <c r="L527" s="548">
        <v>42872</v>
      </c>
      <c r="M527" s="896">
        <v>42887</v>
      </c>
      <c r="N527" s="896">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1">
        <f t="shared" si="102"/>
        <v>43280</v>
      </c>
      <c r="U527" s="62">
        <f t="shared" si="103"/>
        <v>19400000</v>
      </c>
      <c r="V527" s="172">
        <f>VLOOKUP(E527,Modificaciones!$B$7:$AU$527,46,0)</f>
        <v>19400000</v>
      </c>
      <c r="W527" s="93">
        <f t="shared" si="101"/>
        <v>0</v>
      </c>
      <c r="X527" s="309" t="s">
        <v>2617</v>
      </c>
      <c r="Y527" s="878">
        <f t="shared" si="104"/>
        <v>1</v>
      </c>
      <c r="Z527" s="42">
        <f t="shared" ca="1" si="105"/>
        <v>1</v>
      </c>
      <c r="AA527" s="43">
        <f t="shared" ca="1" si="106"/>
        <v>0</v>
      </c>
      <c r="AB527" s="202" t="str">
        <f t="shared" ca="1" si="107"/>
        <v/>
      </c>
      <c r="AC527" s="44" t="str">
        <f t="shared" si="100"/>
        <v>SI</v>
      </c>
      <c r="AD527" s="762" t="s">
        <v>1714</v>
      </c>
      <c r="AE527" s="173" t="s">
        <v>1257</v>
      </c>
      <c r="AF527" s="281" t="s">
        <v>2645</v>
      </c>
      <c r="AG527" s="173" t="s">
        <v>1178</v>
      </c>
      <c r="AH527" s="281" t="s">
        <v>559</v>
      </c>
      <c r="AI527" s="305"/>
      <c r="AJ527" s="305" t="s">
        <v>2845</v>
      </c>
      <c r="AK527" s="181" t="str">
        <f t="shared" ca="1" si="108"/>
        <v>TERMINO</v>
      </c>
      <c r="AL527" s="181" t="s">
        <v>582</v>
      </c>
      <c r="AM527" s="176" t="s">
        <v>391</v>
      </c>
      <c r="AN527" s="872" t="str">
        <f>IFERROR(VLOOKUP(E527,'liquidaciones '!$B$2:$C$1048576,2,0),"NO")</f>
        <v>NO</v>
      </c>
      <c r="AO527" s="972" t="str">
        <f>IFERROR(VLOOKUP(E527,'liquidaciones '!$B$2:$I$1048576,8,0),"")</f>
        <v/>
      </c>
      <c r="AP527" s="435"/>
      <c r="AQ527" s="177" t="s">
        <v>390</v>
      </c>
      <c r="AR527" s="435" t="s">
        <v>3069</v>
      </c>
      <c r="AS527" s="435"/>
      <c r="AT527" s="995" t="s">
        <v>3968</v>
      </c>
    </row>
    <row r="528" spans="3:46" ht="45" x14ac:dyDescent="0.25">
      <c r="C528" s="893">
        <v>147</v>
      </c>
      <c r="D528" s="893"/>
      <c r="E528" s="894" t="s">
        <v>2959</v>
      </c>
      <c r="F528" s="443" t="s">
        <v>2960</v>
      </c>
      <c r="G528" s="933">
        <v>79436393</v>
      </c>
      <c r="H528" s="1035" t="s">
        <v>2842</v>
      </c>
      <c r="I528" s="938">
        <v>34326000</v>
      </c>
      <c r="J528" s="899" t="s">
        <v>2959</v>
      </c>
      <c r="K528" s="295">
        <v>2017</v>
      </c>
      <c r="L528" s="548">
        <v>42873</v>
      </c>
      <c r="M528" s="927">
        <v>42878</v>
      </c>
      <c r="N528" s="927">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1">
        <f t="shared" si="102"/>
        <v>43280</v>
      </c>
      <c r="U528" s="62">
        <f t="shared" si="103"/>
        <v>50344800</v>
      </c>
      <c r="V528" s="172">
        <f>VLOOKUP(E528,Modificaciones!$B$7:$AU$528,46,0)</f>
        <v>50344800</v>
      </c>
      <c r="W528" s="93">
        <f t="shared" si="101"/>
        <v>0</v>
      </c>
      <c r="X528" s="309" t="s">
        <v>1095</v>
      </c>
      <c r="Y528" s="878">
        <f t="shared" si="104"/>
        <v>1</v>
      </c>
      <c r="Z528" s="42">
        <f t="shared" ca="1" si="105"/>
        <v>1</v>
      </c>
      <c r="AA528" s="43">
        <f t="shared" ca="1" si="106"/>
        <v>0</v>
      </c>
      <c r="AB528" s="202" t="str">
        <f t="shared" ca="1" si="107"/>
        <v/>
      </c>
      <c r="AC528" s="44" t="str">
        <f t="shared" si="100"/>
        <v>SI</v>
      </c>
      <c r="AD528" s="762" t="s">
        <v>1714</v>
      </c>
      <c r="AE528" s="173" t="s">
        <v>1257</v>
      </c>
      <c r="AF528" s="281" t="s">
        <v>2063</v>
      </c>
      <c r="AG528" s="173" t="s">
        <v>1438</v>
      </c>
      <c r="AH528" s="281" t="s">
        <v>561</v>
      </c>
      <c r="AI528" s="305"/>
      <c r="AJ528" s="305" t="s">
        <v>3822</v>
      </c>
      <c r="AK528" s="181" t="str">
        <f t="shared" ca="1" si="108"/>
        <v>TERMINO</v>
      </c>
      <c r="AL528" s="310" t="s">
        <v>582</v>
      </c>
      <c r="AM528" s="435" t="s">
        <v>391</v>
      </c>
      <c r="AN528" s="872" t="str">
        <f>IFERROR(VLOOKUP(E528,'liquidaciones '!$B$2:$C$1048576,2,0),"NO")</f>
        <v>NO</v>
      </c>
      <c r="AO528" s="972" t="str">
        <f>IFERROR(VLOOKUP(E528,'liquidaciones '!$B$2:$I$1048576,8,0),"")</f>
        <v/>
      </c>
      <c r="AP528" s="435"/>
      <c r="AQ528" s="177" t="s">
        <v>390</v>
      </c>
      <c r="AR528" s="435" t="s">
        <v>1511</v>
      </c>
      <c r="AS528" s="435"/>
      <c r="AT528" s="995" t="s">
        <v>4216</v>
      </c>
    </row>
    <row r="529" spans="3:46" ht="112.5" x14ac:dyDescent="0.25">
      <c r="C529" s="893">
        <v>82</v>
      </c>
      <c r="D529" s="893"/>
      <c r="E529" s="894" t="s">
        <v>2961</v>
      </c>
      <c r="F529" s="443" t="s">
        <v>22</v>
      </c>
      <c r="G529" s="933">
        <v>830112518</v>
      </c>
      <c r="H529" s="1035" t="s">
        <v>2962</v>
      </c>
      <c r="I529" s="938">
        <v>49980000</v>
      </c>
      <c r="J529" s="899" t="s">
        <v>2961</v>
      </c>
      <c r="K529" s="295">
        <v>2017</v>
      </c>
      <c r="L529" s="548">
        <v>42871</v>
      </c>
      <c r="M529" s="896">
        <v>42874</v>
      </c>
      <c r="N529" s="896">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1">
        <f t="shared" si="102"/>
        <v>43299</v>
      </c>
      <c r="U529" s="62">
        <f t="shared" si="103"/>
        <v>57001000</v>
      </c>
      <c r="V529" s="172">
        <f>VLOOKUP(E529,Modificaciones!$B$7:$AU$529,46,0)</f>
        <v>57001000</v>
      </c>
      <c r="W529" s="93">
        <f t="shared" si="101"/>
        <v>0</v>
      </c>
      <c r="X529" s="315" t="s">
        <v>2963</v>
      </c>
      <c r="Y529" s="878">
        <f t="shared" si="104"/>
        <v>1</v>
      </c>
      <c r="Z529" s="42">
        <f t="shared" ca="1" si="105"/>
        <v>1</v>
      </c>
      <c r="AA529" s="43">
        <f t="shared" ca="1" si="106"/>
        <v>0</v>
      </c>
      <c r="AB529" s="202" t="str">
        <f t="shared" ca="1" si="107"/>
        <v/>
      </c>
      <c r="AC529" s="44" t="str">
        <f t="shared" si="100"/>
        <v>SI</v>
      </c>
      <c r="AD529" s="894"/>
      <c r="AE529" s="173" t="s">
        <v>1258</v>
      </c>
      <c r="AF529" s="173" t="s">
        <v>1175</v>
      </c>
      <c r="AG529" s="173" t="s">
        <v>1440</v>
      </c>
      <c r="AH529" s="281" t="s">
        <v>560</v>
      </c>
      <c r="AI529" s="174" t="s">
        <v>1510</v>
      </c>
      <c r="AJ529" s="305" t="s">
        <v>3821</v>
      </c>
      <c r="AK529" s="181" t="str">
        <f t="shared" ca="1" si="108"/>
        <v>TERMINO</v>
      </c>
      <c r="AL529" s="181" t="s">
        <v>582</v>
      </c>
      <c r="AM529" s="176" t="s">
        <v>390</v>
      </c>
      <c r="AN529" s="872" t="str">
        <f>IFERROR(VLOOKUP(E529,'liquidaciones '!$B$2:$C$1048576,2,0),"NO")</f>
        <v>NO</v>
      </c>
      <c r="AO529" s="972" t="str">
        <f>IFERROR(VLOOKUP(E529,'liquidaciones '!$B$2:$I$1048576,8,0),"")</f>
        <v/>
      </c>
      <c r="AP529" s="435"/>
      <c r="AQ529" s="177" t="s">
        <v>390</v>
      </c>
      <c r="AR529" s="435" t="s">
        <v>3535</v>
      </c>
      <c r="AS529" s="435" t="s">
        <v>3804</v>
      </c>
      <c r="AT529" s="995" t="s">
        <v>560</v>
      </c>
    </row>
    <row r="530" spans="3:46" ht="45" x14ac:dyDescent="0.25">
      <c r="C530" s="893">
        <v>185</v>
      </c>
      <c r="D530" s="893"/>
      <c r="E530" s="894" t="s">
        <v>2964</v>
      </c>
      <c r="F530" s="443" t="s">
        <v>2602</v>
      </c>
      <c r="G530" s="933">
        <v>900462717</v>
      </c>
      <c r="H530" s="1035" t="s">
        <v>2965</v>
      </c>
      <c r="I530" s="938">
        <v>1802850</v>
      </c>
      <c r="J530" s="899" t="s">
        <v>2966</v>
      </c>
      <c r="K530" s="295">
        <v>2017</v>
      </c>
      <c r="L530" s="548">
        <v>42877</v>
      </c>
      <c r="M530" s="896">
        <v>42887</v>
      </c>
      <c r="N530" s="896">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1">
        <f t="shared" si="102"/>
        <v>43191</v>
      </c>
      <c r="U530" s="62">
        <f t="shared" si="103"/>
        <v>1802850</v>
      </c>
      <c r="V530" s="172">
        <f>VLOOKUP(E530,Modificaciones!$B$7:$AU$530,46,0)</f>
        <v>1564850</v>
      </c>
      <c r="W530" s="93">
        <f t="shared" si="101"/>
        <v>238000</v>
      </c>
      <c r="X530" s="309" t="s">
        <v>1632</v>
      </c>
      <c r="Y530" s="878">
        <f t="shared" si="104"/>
        <v>0.86798679867986794</v>
      </c>
      <c r="Z530" s="42">
        <f t="shared" ca="1" si="105"/>
        <v>1</v>
      </c>
      <c r="AA530" s="43">
        <f t="shared" ca="1" si="106"/>
        <v>0.13201320132013206</v>
      </c>
      <c r="AB530" s="202" t="str">
        <f t="shared" ca="1" si="107"/>
        <v/>
      </c>
      <c r="AC530" s="44" t="str">
        <f t="shared" ref="AC530:AC561" si="109">IF(Y530&lt;=99.9%,"NO","SI")</f>
        <v>NO</v>
      </c>
      <c r="AD530" s="894"/>
      <c r="AE530" s="173" t="s">
        <v>1257</v>
      </c>
      <c r="AF530" s="281" t="s">
        <v>1283</v>
      </c>
      <c r="AG530" s="173"/>
      <c r="AH530" s="281" t="s">
        <v>560</v>
      </c>
      <c r="AI530" s="305" t="s">
        <v>1381</v>
      </c>
      <c r="AJ530" s="305" t="s">
        <v>3822</v>
      </c>
      <c r="AK530" s="181" t="str">
        <f t="shared" ca="1" si="108"/>
        <v>TERMINO</v>
      </c>
      <c r="AL530" s="310" t="s">
        <v>576</v>
      </c>
      <c r="AM530" s="435" t="s">
        <v>390</v>
      </c>
      <c r="AN530" s="872" t="str">
        <f>IFERROR(VLOOKUP(E530,'liquidaciones '!$B$2:$C$1048576,2,0),"NO")</f>
        <v>LIQUIDADO</v>
      </c>
      <c r="AO530" s="972">
        <f>IFERROR(VLOOKUP(E530,'liquidaciones '!$B$2:$I$1048576,8,0),"")</f>
        <v>0</v>
      </c>
      <c r="AP530" s="435"/>
      <c r="AQ530" s="435" t="s">
        <v>390</v>
      </c>
      <c r="AR530" s="177" t="s">
        <v>2977</v>
      </c>
      <c r="AS530" s="435" t="s">
        <v>2763</v>
      </c>
      <c r="AT530" s="995" t="s">
        <v>4015</v>
      </c>
    </row>
    <row r="531" spans="3:46" ht="45" x14ac:dyDescent="0.25">
      <c r="C531" s="893">
        <v>75</v>
      </c>
      <c r="D531" s="893"/>
      <c r="E531" s="894" t="s">
        <v>2969</v>
      </c>
      <c r="F531" s="443" t="s">
        <v>2099</v>
      </c>
      <c r="G531" s="933">
        <v>830099766</v>
      </c>
      <c r="H531" s="1035" t="s">
        <v>2647</v>
      </c>
      <c r="I531" s="938">
        <v>63846922</v>
      </c>
      <c r="J531" s="899" t="s">
        <v>2969</v>
      </c>
      <c r="K531" s="295">
        <v>2017</v>
      </c>
      <c r="L531" s="548">
        <v>42887</v>
      </c>
      <c r="M531" s="896">
        <v>42898</v>
      </c>
      <c r="N531" s="896">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1">
        <f t="shared" si="102"/>
        <v>43292</v>
      </c>
      <c r="U531" s="62">
        <f t="shared" si="103"/>
        <v>83000999</v>
      </c>
      <c r="V531" s="172">
        <f>VLOOKUP(E531,Modificaciones!$B$7:$AU$531,46,0)</f>
        <v>63846919</v>
      </c>
      <c r="W531" s="93">
        <f t="shared" si="101"/>
        <v>19154080</v>
      </c>
      <c r="X531" s="313" t="s">
        <v>2970</v>
      </c>
      <c r="Y531" s="878">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2102</v>
      </c>
      <c r="AG531" s="173" t="s">
        <v>1440</v>
      </c>
      <c r="AH531" s="281" t="s">
        <v>560</v>
      </c>
      <c r="AI531" s="305" t="s">
        <v>1510</v>
      </c>
      <c r="AJ531" s="305" t="s">
        <v>3821</v>
      </c>
      <c r="AK531" s="181" t="str">
        <f t="shared" ca="1" si="108"/>
        <v>TERMINO</v>
      </c>
      <c r="AL531" s="310" t="s">
        <v>582</v>
      </c>
      <c r="AM531" s="176" t="s">
        <v>390</v>
      </c>
      <c r="AN531" s="872" t="str">
        <f>IFERROR(VLOOKUP(E531,'liquidaciones '!$B$2:$C$1048576,2,0),"NO")</f>
        <v>NO</v>
      </c>
      <c r="AO531" s="972" t="str">
        <f>IFERROR(VLOOKUP(E531,'liquidaciones '!$B$2:$I$1048576,8,0),"")</f>
        <v/>
      </c>
      <c r="AP531" s="435"/>
      <c r="AQ531" s="435" t="s">
        <v>390</v>
      </c>
      <c r="AR531" s="435" t="s">
        <v>3535</v>
      </c>
      <c r="AS531" s="435" t="s">
        <v>3804</v>
      </c>
      <c r="AT531" s="995" t="s">
        <v>560</v>
      </c>
    </row>
    <row r="532" spans="3:46" ht="45" x14ac:dyDescent="0.25">
      <c r="C532" s="893">
        <v>211</v>
      </c>
      <c r="D532" s="893"/>
      <c r="E532" s="894" t="s">
        <v>2971</v>
      </c>
      <c r="F532" s="443" t="s">
        <v>2972</v>
      </c>
      <c r="G532" s="933">
        <v>900170405</v>
      </c>
      <c r="H532" s="1035" t="s">
        <v>2973</v>
      </c>
      <c r="I532" s="938">
        <v>56122000</v>
      </c>
      <c r="J532" s="899" t="s">
        <v>2974</v>
      </c>
      <c r="K532" s="295">
        <v>2017</v>
      </c>
      <c r="L532" s="548">
        <v>42888</v>
      </c>
      <c r="M532" s="896">
        <v>42898</v>
      </c>
      <c r="N532" s="896">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1">
        <f t="shared" si="102"/>
        <v>43324</v>
      </c>
      <c r="U532" s="62">
        <f t="shared" si="103"/>
        <v>56122000</v>
      </c>
      <c r="V532" s="172">
        <f>VLOOKUP(E532,Modificaciones!$B$7:$AU$900,46,0)</f>
        <v>55122000</v>
      </c>
      <c r="W532" s="93">
        <f t="shared" si="101"/>
        <v>1000000</v>
      </c>
      <c r="X532" s="315" t="s">
        <v>2525</v>
      </c>
      <c r="Y532" s="878">
        <f t="shared" si="104"/>
        <v>0.98218167563522329</v>
      </c>
      <c r="Z532" s="42">
        <f t="shared" ca="1" si="105"/>
        <v>1</v>
      </c>
      <c r="AA532" s="43">
        <f ca="1">+Z532-Y532</f>
        <v>1.7818324364776705E-2</v>
      </c>
      <c r="AB532" s="202" t="str">
        <f t="shared" ca="1" si="107"/>
        <v/>
      </c>
      <c r="AC532" s="44" t="str">
        <f t="shared" si="109"/>
        <v>NO</v>
      </c>
      <c r="AD532" s="762" t="s">
        <v>1713</v>
      </c>
      <c r="AE532" s="173" t="s">
        <v>1257</v>
      </c>
      <c r="AF532" s="301" t="s">
        <v>1176</v>
      </c>
      <c r="AG532" s="173" t="s">
        <v>1436</v>
      </c>
      <c r="AH532" s="281" t="s">
        <v>560</v>
      </c>
      <c r="AI532" s="174" t="s">
        <v>1390</v>
      </c>
      <c r="AJ532" s="305" t="s">
        <v>3821</v>
      </c>
      <c r="AK532" s="181" t="str">
        <f t="shared" ca="1" si="108"/>
        <v>TERMINO</v>
      </c>
      <c r="AL532" s="173" t="s">
        <v>577</v>
      </c>
      <c r="AM532" s="176" t="s">
        <v>390</v>
      </c>
      <c r="AN532" s="872" t="str">
        <f>IFERROR(VLOOKUP(E532,'liquidaciones '!$B$2:$C$1048576,2,0),"NO")</f>
        <v>NO</v>
      </c>
      <c r="AO532" s="972" t="str">
        <f>IFERROR(VLOOKUP(E532,'liquidaciones '!$B$2:$I$1048576,8,0),"")</f>
        <v/>
      </c>
      <c r="AP532" s="435"/>
      <c r="AQ532" s="435" t="s">
        <v>390</v>
      </c>
      <c r="AR532" s="435" t="s">
        <v>1511</v>
      </c>
      <c r="AS532" s="435" t="s">
        <v>3809</v>
      </c>
      <c r="AT532" s="995" t="s">
        <v>560</v>
      </c>
    </row>
    <row r="533" spans="3:46" ht="22.5" x14ac:dyDescent="0.25">
      <c r="C533" s="893">
        <v>191</v>
      </c>
      <c r="D533" s="893"/>
      <c r="E533" s="894" t="s">
        <v>2975</v>
      </c>
      <c r="F533" s="443" t="s">
        <v>2976</v>
      </c>
      <c r="G533" s="933">
        <v>900062917</v>
      </c>
      <c r="H533" s="1035" t="s">
        <v>3065</v>
      </c>
      <c r="I533" s="938">
        <v>35763045</v>
      </c>
      <c r="J533" s="899" t="s">
        <v>2975</v>
      </c>
      <c r="K533" s="295">
        <v>2017</v>
      </c>
      <c r="L533" s="548">
        <v>42887</v>
      </c>
      <c r="M533" s="896">
        <v>42899</v>
      </c>
      <c r="N533" s="896">
        <v>43186</v>
      </c>
      <c r="O533" s="127">
        <f>COUNTA(Modificaciones!I519,Modificaciones!K519,Modificaciones!M519,Modificaciones!O519)</f>
        <v>1</v>
      </c>
      <c r="P533" s="128">
        <f>VLOOKUP(E533,Modificaciones!$B$7:$Q$900,16,0)</f>
        <v>11400000</v>
      </c>
      <c r="Q533" s="129">
        <f>COUNTA(Modificaciones!S533,Modificaciones!U533,Modificaciones!W533,Modificaciones!Y533)</f>
        <v>3</v>
      </c>
      <c r="R533" s="130" t="str">
        <f>IF(Modificaciones!Z533=0,"",VLOOKUP(E533,Modificaciones!$B$7:$AA$1500,25,0))</f>
        <v>4 meses y 5 días</v>
      </c>
      <c r="S533" s="131">
        <f>IF(Modificaciones!AA533=0,"",VLOOKUP(E533,Modificaciones!$B$7:$AA$1500,26,0))</f>
        <v>43313</v>
      </c>
      <c r="T533" s="881">
        <f t="shared" si="102"/>
        <v>43313</v>
      </c>
      <c r="U533" s="62">
        <f t="shared" si="103"/>
        <v>47163045</v>
      </c>
      <c r="V533" s="172">
        <f>VLOOKUP(E533,Modificaciones!$B$7:$AU$900,46,0)</f>
        <v>44394246</v>
      </c>
      <c r="W533" s="93">
        <f t="shared" si="101"/>
        <v>2768799</v>
      </c>
      <c r="X533" s="309" t="s">
        <v>1868</v>
      </c>
      <c r="Y533" s="878">
        <f t="shared" si="104"/>
        <v>0.94129303992140456</v>
      </c>
      <c r="Z533" s="42">
        <f t="shared" ca="1" si="105"/>
        <v>1</v>
      </c>
      <c r="AA533" s="43">
        <f t="shared" ca="1" si="106"/>
        <v>5.8706960078595438E-2</v>
      </c>
      <c r="AB533" s="202" t="str">
        <f t="shared" ca="1" si="107"/>
        <v/>
      </c>
      <c r="AC533" s="44" t="str">
        <f t="shared" si="109"/>
        <v>NO</v>
      </c>
      <c r="AD533" s="762" t="s">
        <v>1713</v>
      </c>
      <c r="AE533" s="173" t="s">
        <v>1257</v>
      </c>
      <c r="AF533" s="281" t="s">
        <v>1138</v>
      </c>
      <c r="AG533" s="173" t="s">
        <v>1437</v>
      </c>
      <c r="AH533" s="281" t="s">
        <v>562</v>
      </c>
      <c r="AI533" s="174" t="s">
        <v>1386</v>
      </c>
      <c r="AJ533" s="305" t="s">
        <v>3821</v>
      </c>
      <c r="AK533" s="181" t="str">
        <f t="shared" ca="1" si="108"/>
        <v>TERMINO</v>
      </c>
      <c r="AL533" s="310" t="s">
        <v>575</v>
      </c>
      <c r="AM533" s="176" t="s">
        <v>390</v>
      </c>
      <c r="AN533" s="872" t="str">
        <f>IFERROR(VLOOKUP(E533,'liquidaciones '!$B$2:$C$1048576,2,0),"NO")</f>
        <v>NO</v>
      </c>
      <c r="AO533" s="972" t="str">
        <f>IFERROR(VLOOKUP(E533,'liquidaciones '!$B$2:$I$1048576,8,0),"")</f>
        <v/>
      </c>
      <c r="AP533" s="435"/>
      <c r="AQ533" s="177" t="s">
        <v>390</v>
      </c>
      <c r="AR533" s="177" t="s">
        <v>2977</v>
      </c>
      <c r="AS533" s="435" t="s">
        <v>3807</v>
      </c>
      <c r="AT533" s="995" t="s">
        <v>560</v>
      </c>
    </row>
    <row r="534" spans="3:46" ht="67.5" x14ac:dyDescent="0.25">
      <c r="C534" s="893">
        <v>261</v>
      </c>
      <c r="D534" s="893"/>
      <c r="E534" s="894" t="s">
        <v>2981</v>
      </c>
      <c r="F534" s="443" t="s">
        <v>152</v>
      </c>
      <c r="G534" s="933">
        <v>800015583</v>
      </c>
      <c r="H534" s="1035" t="s">
        <v>3009</v>
      </c>
      <c r="I534" s="938">
        <v>50000000</v>
      </c>
      <c r="J534" s="899" t="s">
        <v>2985</v>
      </c>
      <c r="K534" s="295">
        <v>2017</v>
      </c>
      <c r="L534" s="548">
        <v>42885</v>
      </c>
      <c r="M534" s="928">
        <v>42913</v>
      </c>
      <c r="N534" s="928">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1">
        <f t="shared" si="102"/>
        <v>43278</v>
      </c>
      <c r="U534" s="62">
        <f t="shared" si="103"/>
        <v>50000000</v>
      </c>
      <c r="V534" s="172">
        <f>VLOOKUP(E534,Modificaciones!$B$7:$AU$900,46,0)</f>
        <v>37111995</v>
      </c>
      <c r="W534" s="93">
        <f t="shared" si="101"/>
        <v>12888005</v>
      </c>
      <c r="X534" s="315" t="s">
        <v>2982</v>
      </c>
      <c r="Y534" s="878">
        <f t="shared" si="104"/>
        <v>0.74223989999999995</v>
      </c>
      <c r="Z534" s="42">
        <f t="shared" ca="1" si="105"/>
        <v>1</v>
      </c>
      <c r="AA534" s="43">
        <f t="shared" ca="1" si="106"/>
        <v>0.25776010000000005</v>
      </c>
      <c r="AB534" s="202" t="str">
        <f t="shared" ca="1" si="107"/>
        <v/>
      </c>
      <c r="AC534" s="44" t="str">
        <f t="shared" si="109"/>
        <v>NO</v>
      </c>
      <c r="AD534" s="762" t="s">
        <v>1713</v>
      </c>
      <c r="AE534" s="897" t="s">
        <v>1258</v>
      </c>
      <c r="AF534" s="897" t="s">
        <v>2983</v>
      </c>
      <c r="AG534" s="173" t="s">
        <v>1440</v>
      </c>
      <c r="AH534" s="281" t="s">
        <v>560</v>
      </c>
      <c r="AI534" s="894"/>
      <c r="AJ534" s="305" t="s">
        <v>3821</v>
      </c>
      <c r="AK534" s="181" t="str">
        <f t="shared" ca="1" si="108"/>
        <v>TERMINO</v>
      </c>
      <c r="AL534" s="310" t="s">
        <v>576</v>
      </c>
      <c r="AM534" s="435" t="s">
        <v>390</v>
      </c>
      <c r="AN534" s="872" t="str">
        <f>IFERROR(VLOOKUP(E534,'liquidaciones '!$B$2:$C$1048576,2,0),"NO")</f>
        <v>NO</v>
      </c>
      <c r="AO534" s="972" t="str">
        <f>IFERROR(VLOOKUP(E534,'liquidaciones '!$B$2:$I$1048576,8,0),"")</f>
        <v/>
      </c>
      <c r="AP534" s="435"/>
      <c r="AQ534" s="177" t="s">
        <v>390</v>
      </c>
      <c r="AR534" s="435" t="s">
        <v>3535</v>
      </c>
      <c r="AS534" s="435" t="s">
        <v>3804</v>
      </c>
      <c r="AT534" s="995" t="s">
        <v>560</v>
      </c>
    </row>
    <row r="535" spans="3:46" ht="45" x14ac:dyDescent="0.25">
      <c r="C535" s="893">
        <v>77</v>
      </c>
      <c r="D535" s="893"/>
      <c r="E535" s="894" t="s">
        <v>2986</v>
      </c>
      <c r="F535" s="443" t="s">
        <v>2704</v>
      </c>
      <c r="G535" s="933">
        <v>900105979</v>
      </c>
      <c r="H535" s="1035" t="s">
        <v>2987</v>
      </c>
      <c r="I535" s="938">
        <v>110600000</v>
      </c>
      <c r="J535" s="899" t="s">
        <v>2989</v>
      </c>
      <c r="K535" s="295">
        <v>2017</v>
      </c>
      <c r="L535" s="548">
        <v>42891</v>
      </c>
      <c r="M535" s="896">
        <v>42906</v>
      </c>
      <c r="N535" s="896">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1">
        <f t="shared" si="102"/>
        <v>43281</v>
      </c>
      <c r="U535" s="62">
        <f t="shared" si="103"/>
        <v>136406667</v>
      </c>
      <c r="V535" s="172">
        <f>VLOOKUP(E535,Modificaciones!$B$7:$AU$900,46,0)</f>
        <v>136406667</v>
      </c>
      <c r="W535" s="93">
        <f t="shared" si="101"/>
        <v>0</v>
      </c>
      <c r="X535" s="315" t="s">
        <v>2525</v>
      </c>
      <c r="Y535" s="878">
        <f t="shared" si="104"/>
        <v>1</v>
      </c>
      <c r="Z535" s="42">
        <f t="shared" ca="1" si="105"/>
        <v>1</v>
      </c>
      <c r="AA535" s="43">
        <f t="shared" ca="1" si="106"/>
        <v>0</v>
      </c>
      <c r="AB535" s="202" t="str">
        <f t="shared" ca="1" si="107"/>
        <v/>
      </c>
      <c r="AC535" s="44" t="str">
        <f t="shared" si="109"/>
        <v>SI</v>
      </c>
      <c r="AD535" s="762" t="s">
        <v>1713</v>
      </c>
      <c r="AE535" s="897" t="s">
        <v>1258</v>
      </c>
      <c r="AF535" s="897" t="s">
        <v>2983</v>
      </c>
      <c r="AG535" s="173" t="s">
        <v>1440</v>
      </c>
      <c r="AH535" s="281" t="s">
        <v>560</v>
      </c>
      <c r="AI535" s="894"/>
      <c r="AJ535" s="305" t="s">
        <v>3821</v>
      </c>
      <c r="AK535" s="181" t="str">
        <f t="shared" ca="1" si="108"/>
        <v>TERMINO</v>
      </c>
      <c r="AL535" s="443" t="s">
        <v>2988</v>
      </c>
      <c r="AM535" s="435" t="s">
        <v>390</v>
      </c>
      <c r="AN535" s="872" t="str">
        <f>IFERROR(VLOOKUP(E535,'liquidaciones '!$B$2:$C$1048576,2,0),"NO")</f>
        <v>NO</v>
      </c>
      <c r="AO535" s="972" t="str">
        <f>IFERROR(VLOOKUP(E535,'liquidaciones '!$B$2:$I$1048576,8,0),"")</f>
        <v/>
      </c>
      <c r="AP535" s="435"/>
      <c r="AQ535" s="177" t="str">
        <f ca="1">IF((TODAY()-T535&lt;900),"SI","NO")</f>
        <v>SI</v>
      </c>
      <c r="AR535" s="435" t="s">
        <v>3535</v>
      </c>
      <c r="AS535" s="435" t="s">
        <v>3804</v>
      </c>
      <c r="AT535" s="995" t="s">
        <v>560</v>
      </c>
    </row>
    <row r="536" spans="3:46" ht="30" x14ac:dyDescent="0.25">
      <c r="C536" s="893">
        <v>88</v>
      </c>
      <c r="D536" s="893"/>
      <c r="E536" s="894" t="s">
        <v>2995</v>
      </c>
      <c r="F536" s="443" t="s">
        <v>2996</v>
      </c>
      <c r="G536" s="933" t="s">
        <v>2997</v>
      </c>
      <c r="H536" s="1035" t="s">
        <v>2998</v>
      </c>
      <c r="I536" s="938">
        <v>4361500</v>
      </c>
      <c r="J536" s="899" t="s">
        <v>2999</v>
      </c>
      <c r="K536" s="295">
        <v>2017</v>
      </c>
      <c r="L536" s="548">
        <v>42909</v>
      </c>
      <c r="M536" s="900">
        <v>42922</v>
      </c>
      <c r="N536" s="900">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1">
        <f t="shared" si="102"/>
        <v>42984</v>
      </c>
      <c r="U536" s="62">
        <f t="shared" si="103"/>
        <v>4361500</v>
      </c>
      <c r="V536" s="172">
        <f>VLOOKUP(E536,Modificaciones!$B$7:$AU$900,46,0)</f>
        <v>4361500</v>
      </c>
      <c r="W536" s="93">
        <f t="shared" si="101"/>
        <v>0</v>
      </c>
      <c r="X536" s="309" t="s">
        <v>1823</v>
      </c>
      <c r="Y536" s="878">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2845</v>
      </c>
      <c r="AK536" s="181" t="str">
        <f t="shared" ca="1" si="108"/>
        <v>TERMINO</v>
      </c>
      <c r="AL536" s="310" t="s">
        <v>576</v>
      </c>
      <c r="AM536" s="176" t="s">
        <v>391</v>
      </c>
      <c r="AN536" s="872" t="str">
        <f>IFERROR(VLOOKUP(E536,'liquidaciones '!$B$2:$C$1048576,2,0),"NO")</f>
        <v>LIQUIDADO</v>
      </c>
      <c r="AO536" s="972">
        <f>IFERROR(VLOOKUP(E536,'liquidaciones '!$B$2:$I$1048576,8,0),"")</f>
        <v>0</v>
      </c>
      <c r="AP536" s="435"/>
      <c r="AQ536" s="435" t="s">
        <v>390</v>
      </c>
      <c r="AR536" s="435" t="s">
        <v>3535</v>
      </c>
      <c r="AS536" s="435"/>
      <c r="AT536" s="995"/>
    </row>
    <row r="537" spans="3:46" ht="78.75" x14ac:dyDescent="0.25">
      <c r="C537" s="893">
        <v>200</v>
      </c>
      <c r="D537" s="893"/>
      <c r="E537" s="894" t="s">
        <v>3000</v>
      </c>
      <c r="F537" s="443" t="s">
        <v>2157</v>
      </c>
      <c r="G537" s="933" t="s">
        <v>3001</v>
      </c>
      <c r="H537" s="1033" t="s">
        <v>3576</v>
      </c>
      <c r="I537" s="938">
        <v>4491000</v>
      </c>
      <c r="J537" s="899" t="s">
        <v>3008</v>
      </c>
      <c r="K537" s="295">
        <v>2017</v>
      </c>
      <c r="L537" s="548">
        <v>42894</v>
      </c>
      <c r="M537" s="900">
        <v>42920</v>
      </c>
      <c r="N537" s="900">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1">
        <f t="shared" si="102"/>
        <v>43255</v>
      </c>
      <c r="U537" s="62">
        <f t="shared" si="103"/>
        <v>4491000</v>
      </c>
      <c r="V537" s="172">
        <f>VLOOKUP(E537,Modificaciones!$B$7:$AU$900,46,0)</f>
        <v>4410990</v>
      </c>
      <c r="W537" s="93">
        <f t="shared" si="101"/>
        <v>80010</v>
      </c>
      <c r="X537" s="309" t="s">
        <v>3002</v>
      </c>
      <c r="Y537" s="878">
        <f t="shared" si="104"/>
        <v>0.98218436873747494</v>
      </c>
      <c r="Z537" s="42">
        <f t="shared" ca="1" si="105"/>
        <v>1</v>
      </c>
      <c r="AA537" s="43">
        <f t="shared" ca="1" si="106"/>
        <v>1.7815631262525056E-2</v>
      </c>
      <c r="AB537" s="202" t="str">
        <f t="shared" ca="1" si="107"/>
        <v/>
      </c>
      <c r="AC537" s="44" t="str">
        <f t="shared" si="109"/>
        <v>NO</v>
      </c>
      <c r="AD537" s="762" t="s">
        <v>1713</v>
      </c>
      <c r="AE537" s="173" t="s">
        <v>1257</v>
      </c>
      <c r="AF537" s="281" t="s">
        <v>1173</v>
      </c>
      <c r="AG537" s="173" t="s">
        <v>1443</v>
      </c>
      <c r="AH537" s="281" t="s">
        <v>560</v>
      </c>
      <c r="AI537" s="174" t="s">
        <v>1381</v>
      </c>
      <c r="AJ537" s="305" t="s">
        <v>3821</v>
      </c>
      <c r="AK537" s="181" t="str">
        <f t="shared" ca="1" si="108"/>
        <v>TERMINO</v>
      </c>
      <c r="AL537" s="181" t="s">
        <v>576</v>
      </c>
      <c r="AM537" s="176" t="s">
        <v>390</v>
      </c>
      <c r="AN537" s="872" t="str">
        <f>IFERROR(VLOOKUP(E537,'liquidaciones '!$B$2:$C$1048576,2,0),"NO")</f>
        <v>EN TRÁMITE</v>
      </c>
      <c r="AO537" s="972">
        <f>IFERROR(VLOOKUP(E537,'liquidaciones '!$B$2:$I$1048576,8,0),"")</f>
        <v>0</v>
      </c>
      <c r="AP537" s="435"/>
      <c r="AQ537" s="435" t="s">
        <v>390</v>
      </c>
      <c r="AR537" s="435" t="s">
        <v>1511</v>
      </c>
      <c r="AS537" s="435" t="s">
        <v>3800</v>
      </c>
      <c r="AT537" s="995" t="s">
        <v>560</v>
      </c>
    </row>
    <row r="538" spans="3:46" ht="56.25" x14ac:dyDescent="0.25">
      <c r="C538" s="893">
        <v>193</v>
      </c>
      <c r="D538" s="893"/>
      <c r="E538" s="894" t="s">
        <v>3003</v>
      </c>
      <c r="F538" s="443" t="s">
        <v>3004</v>
      </c>
      <c r="G538" s="933" t="s">
        <v>3005</v>
      </c>
      <c r="H538" s="1033" t="s">
        <v>3066</v>
      </c>
      <c r="I538" s="938">
        <v>29000000</v>
      </c>
      <c r="J538" s="899" t="s">
        <v>3006</v>
      </c>
      <c r="K538" s="295">
        <v>2017</v>
      </c>
      <c r="L538" s="548">
        <v>42893</v>
      </c>
      <c r="M538" s="900">
        <v>42920</v>
      </c>
      <c r="N538" s="900">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1">
        <f t="shared" si="102"/>
        <v>43194</v>
      </c>
      <c r="U538" s="62">
        <f t="shared" si="103"/>
        <v>29000000</v>
      </c>
      <c r="V538" s="172">
        <f>VLOOKUP(E538,Modificaciones!$B$7:$AU$900,46,0)</f>
        <v>28999767</v>
      </c>
      <c r="W538" s="93">
        <f t="shared" si="101"/>
        <v>233</v>
      </c>
      <c r="X538" s="309" t="s">
        <v>3007</v>
      </c>
      <c r="Y538" s="878">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3821</v>
      </c>
      <c r="AK538" s="181" t="str">
        <f t="shared" ca="1" si="108"/>
        <v>TERMINO</v>
      </c>
      <c r="AL538" s="181" t="s">
        <v>576</v>
      </c>
      <c r="AM538" s="435" t="s">
        <v>390</v>
      </c>
      <c r="AN538" s="872" t="str">
        <f>IFERROR(VLOOKUP(E538,'liquidaciones '!$B$2:$C$1048576,2,0),"NO")</f>
        <v>LIQUIDADO</v>
      </c>
      <c r="AO538" s="972">
        <f>IFERROR(VLOOKUP(E538,'liquidaciones '!$B$2:$I$1048576,8,0),"")</f>
        <v>0</v>
      </c>
      <c r="AP538" s="435"/>
      <c r="AQ538" s="435" t="s">
        <v>390</v>
      </c>
      <c r="AR538" s="435" t="s">
        <v>3069</v>
      </c>
      <c r="AS538" s="435" t="s">
        <v>3800</v>
      </c>
      <c r="AT538" s="995" t="s">
        <v>560</v>
      </c>
    </row>
    <row r="539" spans="3:46" ht="78.75" x14ac:dyDescent="0.25">
      <c r="C539" s="893">
        <v>196</v>
      </c>
      <c r="D539" s="893"/>
      <c r="E539" s="894" t="s">
        <v>3010</v>
      </c>
      <c r="F539" s="443" t="s">
        <v>3011</v>
      </c>
      <c r="G539" s="933" t="s">
        <v>3012</v>
      </c>
      <c r="H539" s="1035" t="s">
        <v>3013</v>
      </c>
      <c r="I539" s="938">
        <v>578014000</v>
      </c>
      <c r="J539" s="899" t="s">
        <v>3018</v>
      </c>
      <c r="K539" s="295">
        <v>2017</v>
      </c>
      <c r="L539" s="548">
        <v>42929</v>
      </c>
      <c r="M539" s="900">
        <v>42933</v>
      </c>
      <c r="N539" s="900">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1">
        <f t="shared" si="102"/>
        <v>43231</v>
      </c>
      <c r="U539" s="62">
        <f t="shared" si="103"/>
        <v>882002189</v>
      </c>
      <c r="V539" s="172">
        <f>VLOOKUP(E539,Modificaciones!$B$7:$AU$900,46,0)</f>
        <v>880108950</v>
      </c>
      <c r="W539" s="93">
        <f t="shared" si="101"/>
        <v>1893239</v>
      </c>
      <c r="X539" s="93" t="s">
        <v>1881</v>
      </c>
      <c r="Y539" s="878">
        <f t="shared" si="104"/>
        <v>0.99785347584891315</v>
      </c>
      <c r="Z539" s="42">
        <f t="shared" ca="1" si="105"/>
        <v>1</v>
      </c>
      <c r="AA539" s="43">
        <f t="shared" ca="1" si="106"/>
        <v>2.1465241510868482E-3</v>
      </c>
      <c r="AB539" s="202" t="str">
        <f t="shared" ca="1" si="107"/>
        <v/>
      </c>
      <c r="AC539" s="44" t="str">
        <f t="shared" si="109"/>
        <v>NO</v>
      </c>
      <c r="AD539" s="762" t="s">
        <v>1713</v>
      </c>
      <c r="AE539" s="173" t="s">
        <v>1257</v>
      </c>
      <c r="AF539" s="281" t="s">
        <v>1128</v>
      </c>
      <c r="AG539" s="173"/>
      <c r="AH539" s="281" t="s">
        <v>560</v>
      </c>
      <c r="AI539" s="305"/>
      <c r="AJ539" s="305" t="s">
        <v>3821</v>
      </c>
      <c r="AK539" s="181" t="str">
        <f t="shared" ca="1" si="108"/>
        <v>TERMINO</v>
      </c>
      <c r="AL539" s="310" t="s">
        <v>575</v>
      </c>
      <c r="AM539" s="435" t="s">
        <v>390</v>
      </c>
      <c r="AN539" s="872" t="str">
        <f>IFERROR(VLOOKUP(E539,'liquidaciones '!$B$2:$C$1048576,2,0),"NO")</f>
        <v>NO</v>
      </c>
      <c r="AO539" s="972" t="str">
        <f>IFERROR(VLOOKUP(E539,'liquidaciones '!$B$2:$I$1048576,8,0),"")</f>
        <v/>
      </c>
      <c r="AP539" s="435"/>
      <c r="AQ539" s="435" t="s">
        <v>390</v>
      </c>
      <c r="AR539" s="435" t="s">
        <v>3069</v>
      </c>
      <c r="AS539" s="435" t="s">
        <v>1380</v>
      </c>
      <c r="AT539" s="995" t="s">
        <v>560</v>
      </c>
    </row>
    <row r="540" spans="3:46" ht="45" x14ac:dyDescent="0.25">
      <c r="C540" s="893"/>
      <c r="D540" s="893"/>
      <c r="E540" s="894" t="s">
        <v>3014</v>
      </c>
      <c r="F540" s="443" t="s">
        <v>1602</v>
      </c>
      <c r="G540" s="933" t="s">
        <v>3015</v>
      </c>
      <c r="H540" s="1035" t="s">
        <v>3016</v>
      </c>
      <c r="I540" s="938">
        <v>70086000</v>
      </c>
      <c r="J540" s="899" t="s">
        <v>3019</v>
      </c>
      <c r="K540" s="295">
        <v>2017</v>
      </c>
      <c r="L540" s="548">
        <v>42921</v>
      </c>
      <c r="M540" s="900">
        <v>42930</v>
      </c>
      <c r="N540" s="900">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1">
        <f t="shared" si="102"/>
        <v>43053</v>
      </c>
      <c r="U540" s="62">
        <f t="shared" si="103"/>
        <v>70086000</v>
      </c>
      <c r="V540" s="172">
        <f>VLOOKUP(E540,Modificaciones!$B$7:$AU$900,46,0)</f>
        <v>70086000</v>
      </c>
      <c r="W540" s="93">
        <f t="shared" si="101"/>
        <v>0</v>
      </c>
      <c r="X540" s="309" t="s">
        <v>3017</v>
      </c>
      <c r="Y540" s="878">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3821</v>
      </c>
      <c r="AK540" s="181" t="str">
        <f t="shared" ca="1" si="108"/>
        <v>TERMINO</v>
      </c>
      <c r="AL540" s="181" t="s">
        <v>576</v>
      </c>
      <c r="AM540" s="435" t="s">
        <v>390</v>
      </c>
      <c r="AN540" s="872" t="str">
        <f>IFERROR(VLOOKUP(E540,'liquidaciones '!$B$2:$C$1048576,2,0),"NO")</f>
        <v>LIQUIDADO</v>
      </c>
      <c r="AO540" s="972">
        <f>IFERROR(VLOOKUP(E540,'liquidaciones '!$B$2:$I$1048576,8,0),"")</f>
        <v>0</v>
      </c>
      <c r="AP540" s="435"/>
      <c r="AQ540" s="435" t="s">
        <v>390</v>
      </c>
      <c r="AR540" s="435" t="s">
        <v>3535</v>
      </c>
      <c r="AS540" s="435" t="s">
        <v>3804</v>
      </c>
      <c r="AT540" s="995" t="s">
        <v>560</v>
      </c>
    </row>
    <row r="541" spans="3:46" ht="33.75" x14ac:dyDescent="0.25">
      <c r="C541" s="893">
        <v>199</v>
      </c>
      <c r="D541" s="893"/>
      <c r="E541" s="894" t="s">
        <v>3067</v>
      </c>
      <c r="F541" s="443" t="s">
        <v>1860</v>
      </c>
      <c r="G541" s="919">
        <v>860025639</v>
      </c>
      <c r="H541" s="1036" t="s">
        <v>3068</v>
      </c>
      <c r="I541" s="93">
        <v>15000000</v>
      </c>
      <c r="J541" s="899" t="s">
        <v>3067</v>
      </c>
      <c r="K541" s="295">
        <v>2017</v>
      </c>
      <c r="L541" s="548">
        <v>42906</v>
      </c>
      <c r="M541" s="928">
        <v>42948</v>
      </c>
      <c r="N541" s="928">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1">
        <f t="shared" si="102"/>
        <v>43312</v>
      </c>
      <c r="U541" s="62">
        <f t="shared" si="103"/>
        <v>21193880</v>
      </c>
      <c r="V541" s="172">
        <f>VLOOKUP(E541,Modificaciones!$B$7:$AU$900,46,0)</f>
        <v>18350880</v>
      </c>
      <c r="W541" s="93">
        <f t="shared" si="101"/>
        <v>2843000</v>
      </c>
      <c r="X541" s="309" t="s">
        <v>3007</v>
      </c>
      <c r="Y541" s="878">
        <f t="shared" si="104"/>
        <v>0.8658575022600864</v>
      </c>
      <c r="Z541" s="42">
        <f t="shared" ca="1" si="105"/>
        <v>1</v>
      </c>
      <c r="AA541" s="43">
        <f t="shared" ca="1" si="106"/>
        <v>0.1341424977399136</v>
      </c>
      <c r="AB541" s="202" t="str">
        <f t="shared" ca="1" si="107"/>
        <v/>
      </c>
      <c r="AC541" s="44" t="str">
        <f t="shared" si="109"/>
        <v>NO</v>
      </c>
      <c r="AD541" s="762" t="s">
        <v>1713</v>
      </c>
      <c r="AE541" s="173" t="s">
        <v>1257</v>
      </c>
      <c r="AF541" s="281" t="s">
        <v>1171</v>
      </c>
      <c r="AG541" s="173" t="s">
        <v>1443</v>
      </c>
      <c r="AH541" s="281" t="s">
        <v>560</v>
      </c>
      <c r="AI541" s="305"/>
      <c r="AJ541" s="305" t="s">
        <v>2845</v>
      </c>
      <c r="AK541" s="181" t="str">
        <f t="shared" ca="1" si="108"/>
        <v>TERMINO</v>
      </c>
      <c r="AL541" s="181" t="s">
        <v>582</v>
      </c>
      <c r="AM541" s="435" t="s">
        <v>390</v>
      </c>
      <c r="AN541" s="872" t="str">
        <f>IFERROR(VLOOKUP(E541,'liquidaciones '!$B$2:$C$1048576,2,0),"NO")</f>
        <v>NO</v>
      </c>
      <c r="AO541" s="972" t="str">
        <f>IFERROR(VLOOKUP(E541,'liquidaciones '!$B$2:$I$1048576,8,0),"")</f>
        <v/>
      </c>
      <c r="AP541" s="435"/>
      <c r="AQ541" s="435" t="s">
        <v>390</v>
      </c>
      <c r="AR541" s="435" t="s">
        <v>4278</v>
      </c>
      <c r="AS541" s="435" t="s">
        <v>3800</v>
      </c>
      <c r="AT541" s="995" t="s">
        <v>3968</v>
      </c>
    </row>
    <row r="542" spans="3:46" ht="56.25" x14ac:dyDescent="0.25">
      <c r="C542" s="893"/>
      <c r="D542" s="893"/>
      <c r="E542" s="894" t="s">
        <v>3070</v>
      </c>
      <c r="F542" s="443" t="s">
        <v>152</v>
      </c>
      <c r="G542" s="919" t="s">
        <v>2810</v>
      </c>
      <c r="H542" s="1037" t="s">
        <v>3071</v>
      </c>
      <c r="I542" s="93">
        <v>196663000</v>
      </c>
      <c r="J542" s="899" t="s">
        <v>3074</v>
      </c>
      <c r="K542" s="295">
        <v>2017</v>
      </c>
      <c r="L542" s="548">
        <v>42927</v>
      </c>
      <c r="M542" s="900">
        <v>42937</v>
      </c>
      <c r="N542" s="900">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1">
        <f t="shared" si="102"/>
        <v>43320</v>
      </c>
      <c r="U542" s="62">
        <f t="shared" si="103"/>
        <v>280424101</v>
      </c>
      <c r="V542" s="172">
        <f>VLOOKUP(E542,Modificaciones!$B$7:$AU$900,46,0)</f>
        <v>222558810</v>
      </c>
      <c r="W542" s="93">
        <f t="shared" si="101"/>
        <v>57865291</v>
      </c>
      <c r="X542" s="309" t="s">
        <v>3072</v>
      </c>
      <c r="Y542" s="878">
        <f t="shared" si="104"/>
        <v>0.7936507925187215</v>
      </c>
      <c r="Z542" s="42">
        <f t="shared" ca="1" si="105"/>
        <v>1</v>
      </c>
      <c r="AA542" s="43">
        <f t="shared" ca="1" si="106"/>
        <v>0.2063492074812785</v>
      </c>
      <c r="AB542" s="202" t="str">
        <f t="shared" ca="1" si="107"/>
        <v/>
      </c>
      <c r="AC542" s="44" t="str">
        <f t="shared" si="109"/>
        <v>NO</v>
      </c>
      <c r="AD542" s="762" t="s">
        <v>3073</v>
      </c>
      <c r="AE542" s="173" t="s">
        <v>1258</v>
      </c>
      <c r="AF542" s="281" t="s">
        <v>1939</v>
      </c>
      <c r="AG542" s="173" t="s">
        <v>1440</v>
      </c>
      <c r="AH542" s="281" t="s">
        <v>560</v>
      </c>
      <c r="AI542" s="305" t="s">
        <v>1510</v>
      </c>
      <c r="AJ542" s="305" t="s">
        <v>3821</v>
      </c>
      <c r="AK542" s="181" t="str">
        <f t="shared" ca="1" si="108"/>
        <v>TERMINO</v>
      </c>
      <c r="AL542" s="310" t="s">
        <v>575</v>
      </c>
      <c r="AM542" s="176" t="s">
        <v>390</v>
      </c>
      <c r="AN542" s="872" t="str">
        <f>IFERROR(VLOOKUP(E542,'liquidaciones '!$B$2:$C$1048576,2,0),"NO")</f>
        <v>NO</v>
      </c>
      <c r="AO542" s="972" t="str">
        <f>IFERROR(VLOOKUP(E542,'liquidaciones '!$B$2:$I$1048576,8,0),"")</f>
        <v/>
      </c>
      <c r="AP542" s="435"/>
      <c r="AQ542" s="435" t="s">
        <v>390</v>
      </c>
      <c r="AR542" s="435" t="s">
        <v>3535</v>
      </c>
      <c r="AS542" s="435" t="s">
        <v>3804</v>
      </c>
      <c r="AT542" s="995" t="s">
        <v>560</v>
      </c>
    </row>
    <row r="543" spans="3:46" ht="33.75" x14ac:dyDescent="0.25">
      <c r="C543" s="893">
        <v>178</v>
      </c>
      <c r="D543" s="893"/>
      <c r="E543" s="894" t="s">
        <v>3075</v>
      </c>
      <c r="F543" s="443" t="s">
        <v>73</v>
      </c>
      <c r="G543" s="919">
        <v>830012587</v>
      </c>
      <c r="H543" s="1037" t="s">
        <v>3076</v>
      </c>
      <c r="I543" s="93">
        <v>909999990</v>
      </c>
      <c r="J543" s="899" t="s">
        <v>3075</v>
      </c>
      <c r="K543" s="295">
        <v>2017</v>
      </c>
      <c r="L543" s="548">
        <v>42933</v>
      </c>
      <c r="M543" s="900">
        <v>42948</v>
      </c>
      <c r="N543" s="900">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1">
        <f t="shared" si="102"/>
        <v>43311</v>
      </c>
      <c r="U543" s="62">
        <f t="shared" si="103"/>
        <v>1241319770</v>
      </c>
      <c r="V543" s="172">
        <f>VLOOKUP(E543,Modificaciones!$B$7:$AU$900,46,0)</f>
        <v>860255948</v>
      </c>
      <c r="W543" s="93">
        <f t="shared" si="101"/>
        <v>381063822</v>
      </c>
      <c r="X543" s="309" t="s">
        <v>1893</v>
      </c>
      <c r="Y543" s="878">
        <f t="shared" si="104"/>
        <v>0.6930171973334478</v>
      </c>
      <c r="Z543" s="42">
        <f t="shared" ca="1" si="105"/>
        <v>1</v>
      </c>
      <c r="AA543" s="43">
        <f t="shared" ca="1" si="106"/>
        <v>0.3069828026665522</v>
      </c>
      <c r="AB543" s="202" t="str">
        <f t="shared" ca="1" si="107"/>
        <v/>
      </c>
      <c r="AC543" s="44" t="str">
        <f t="shared" si="109"/>
        <v>NO</v>
      </c>
      <c r="AD543" s="762" t="s">
        <v>1722</v>
      </c>
      <c r="AE543" s="173" t="s">
        <v>1257</v>
      </c>
      <c r="AF543" s="173" t="s">
        <v>1293</v>
      </c>
      <c r="AG543" s="173" t="s">
        <v>1431</v>
      </c>
      <c r="AH543" s="281" t="s">
        <v>564</v>
      </c>
      <c r="AI543" s="305"/>
      <c r="AJ543" s="305" t="s">
        <v>2845</v>
      </c>
      <c r="AK543" s="181" t="str">
        <f t="shared" ca="1" si="108"/>
        <v>TERMINO</v>
      </c>
      <c r="AL543" s="310" t="s">
        <v>582</v>
      </c>
      <c r="AM543" s="435" t="s">
        <v>390</v>
      </c>
      <c r="AN543" s="872" t="str">
        <f>IFERROR(VLOOKUP(E543,'liquidaciones '!$B$2:$C$1048576,2,0),"NO")</f>
        <v>NO</v>
      </c>
      <c r="AO543" s="972" t="str">
        <f>IFERROR(VLOOKUP(E543,'liquidaciones '!$B$2:$I$1048576,8,0),"")</f>
        <v/>
      </c>
      <c r="AP543" s="435"/>
      <c r="AQ543" s="435" t="s">
        <v>390</v>
      </c>
      <c r="AR543" s="435" t="s">
        <v>2991</v>
      </c>
      <c r="AS543" s="435" t="s">
        <v>3808</v>
      </c>
      <c r="AT543" s="995" t="s">
        <v>3949</v>
      </c>
    </row>
    <row r="544" spans="3:46" ht="30" x14ac:dyDescent="0.25">
      <c r="C544" s="893"/>
      <c r="D544" s="893"/>
      <c r="E544" s="894" t="s">
        <v>3077</v>
      </c>
      <c r="F544" s="443" t="s">
        <v>2511</v>
      </c>
      <c r="G544" s="930" t="s">
        <v>2512</v>
      </c>
      <c r="H544" s="1037" t="s">
        <v>3078</v>
      </c>
      <c r="I544" s="93">
        <v>3007941</v>
      </c>
      <c r="J544" s="899" t="s">
        <v>4024</v>
      </c>
      <c r="K544" s="295">
        <v>2017</v>
      </c>
      <c r="L544" s="548">
        <v>42944</v>
      </c>
      <c r="M544" s="900">
        <v>42944</v>
      </c>
      <c r="N544" s="900">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1">
        <f t="shared" si="102"/>
        <v>43006</v>
      </c>
      <c r="U544" s="62">
        <f t="shared" si="103"/>
        <v>3007941</v>
      </c>
      <c r="V544" s="172">
        <f>VLOOKUP(E544,Modificaciones!$B$7:$AU$900,46,0)</f>
        <v>3007941</v>
      </c>
      <c r="W544" s="93">
        <f t="shared" si="101"/>
        <v>0</v>
      </c>
      <c r="X544" s="309" t="s">
        <v>2741</v>
      </c>
      <c r="Y544" s="878">
        <f t="shared" si="104"/>
        <v>1</v>
      </c>
      <c r="Z544" s="42">
        <f t="shared" ca="1" si="105"/>
        <v>1</v>
      </c>
      <c r="AA544" s="43">
        <f t="shared" ca="1" si="106"/>
        <v>0</v>
      </c>
      <c r="AB544" s="202" t="str">
        <f t="shared" ca="1" si="107"/>
        <v/>
      </c>
      <c r="AC544" s="44" t="str">
        <f t="shared" si="109"/>
        <v>SI</v>
      </c>
      <c r="AD544" s="894"/>
      <c r="AE544" s="897"/>
      <c r="AF544" s="897" t="s">
        <v>3079</v>
      </c>
      <c r="AG544" s="894"/>
      <c r="AH544" s="894"/>
      <c r="AI544" s="894"/>
      <c r="AJ544" s="305" t="s">
        <v>2845</v>
      </c>
      <c r="AK544" s="181" t="str">
        <f t="shared" ca="1" si="108"/>
        <v>TERMINO</v>
      </c>
      <c r="AL544" s="443" t="s">
        <v>2733</v>
      </c>
      <c r="AM544" s="435"/>
      <c r="AN544" s="872" t="str">
        <f>IFERROR(VLOOKUP(E544,'liquidaciones '!$B$2:$C$1048576,2,0),"NO")</f>
        <v>EN TRÁMITE</v>
      </c>
      <c r="AO544" s="972">
        <f>IFERROR(VLOOKUP(E544,'liquidaciones '!$B$2:$I$1048576,8,0),"")</f>
        <v>0</v>
      </c>
      <c r="AP544" s="435"/>
      <c r="AQ544" s="435"/>
      <c r="AR544" s="177" t="s">
        <v>2991</v>
      </c>
      <c r="AS544" s="435"/>
      <c r="AT544" s="995"/>
    </row>
    <row r="545" spans="3:46" ht="33.75" x14ac:dyDescent="0.25">
      <c r="C545" s="893"/>
      <c r="D545" s="893"/>
      <c r="E545" s="894" t="s">
        <v>3080</v>
      </c>
      <c r="F545" s="443" t="s">
        <v>3081</v>
      </c>
      <c r="G545" s="919">
        <v>79983036</v>
      </c>
      <c r="H545" s="1037" t="s">
        <v>3082</v>
      </c>
      <c r="I545" s="93">
        <v>13125000</v>
      </c>
      <c r="J545" s="899" t="s">
        <v>3080</v>
      </c>
      <c r="K545" s="295">
        <v>2017</v>
      </c>
      <c r="L545" s="548">
        <v>42944</v>
      </c>
      <c r="M545" s="900">
        <v>42949</v>
      </c>
      <c r="N545" s="900">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1">
        <f t="shared" si="102"/>
        <v>43159</v>
      </c>
      <c r="U545" s="62">
        <f t="shared" si="103"/>
        <v>13125000</v>
      </c>
      <c r="V545" s="172">
        <f>VLOOKUP(E545,Modificaciones!$B$7:$AU$900,46,0)</f>
        <v>10687500</v>
      </c>
      <c r="W545" s="93">
        <f t="shared" si="101"/>
        <v>2437500</v>
      </c>
      <c r="X545" s="309" t="s">
        <v>3083</v>
      </c>
      <c r="Y545" s="878">
        <f t="shared" si="104"/>
        <v>0.81428571428571428</v>
      </c>
      <c r="Z545" s="42">
        <f t="shared" ca="1" si="105"/>
        <v>1</v>
      </c>
      <c r="AA545" s="43">
        <f t="shared" ca="1" si="106"/>
        <v>0.18571428571428572</v>
      </c>
      <c r="AB545" s="202" t="str">
        <f t="shared" ca="1" si="107"/>
        <v/>
      </c>
      <c r="AC545" s="44" t="str">
        <f t="shared" si="109"/>
        <v>NO</v>
      </c>
      <c r="AD545" s="762" t="s">
        <v>1714</v>
      </c>
      <c r="AE545" s="173" t="s">
        <v>1257</v>
      </c>
      <c r="AF545" s="281" t="s">
        <v>3084</v>
      </c>
      <c r="AG545" s="173" t="s">
        <v>1438</v>
      </c>
      <c r="AH545" s="281" t="s">
        <v>561</v>
      </c>
      <c r="AI545" s="894"/>
      <c r="AJ545" s="305" t="s">
        <v>3822</v>
      </c>
      <c r="AK545" s="181" t="str">
        <f t="shared" ca="1" si="108"/>
        <v>TERMINO</v>
      </c>
      <c r="AL545" s="310" t="s">
        <v>582</v>
      </c>
      <c r="AM545" s="435" t="s">
        <v>391</v>
      </c>
      <c r="AN545" s="872" t="str">
        <f>IFERROR(VLOOKUP(E545,'liquidaciones '!$B$2:$C$1048576,2,0),"NO")</f>
        <v>LIQUIDADO</v>
      </c>
      <c r="AO545" s="972">
        <f>IFERROR(VLOOKUP(E545,'liquidaciones '!$B$2:$I$1048576,8,0),"")</f>
        <v>0</v>
      </c>
      <c r="AP545" s="435"/>
      <c r="AQ545" s="435" t="s">
        <v>390</v>
      </c>
      <c r="AR545" s="177" t="s">
        <v>3069</v>
      </c>
      <c r="AS545" s="435"/>
      <c r="AT545" s="995" t="s">
        <v>4216</v>
      </c>
    </row>
    <row r="546" spans="3:46" ht="56.25" x14ac:dyDescent="0.25">
      <c r="C546" s="893">
        <v>73</v>
      </c>
      <c r="D546" s="893"/>
      <c r="E546" s="894" t="s">
        <v>3085</v>
      </c>
      <c r="F546" s="443" t="s">
        <v>2129</v>
      </c>
      <c r="G546" s="919">
        <v>830083523</v>
      </c>
      <c r="H546" s="1037" t="s">
        <v>2662</v>
      </c>
      <c r="I546" s="93">
        <v>8320000</v>
      </c>
      <c r="J546" s="899" t="s">
        <v>3085</v>
      </c>
      <c r="K546" s="295">
        <v>2017</v>
      </c>
      <c r="L546" s="548">
        <v>42934</v>
      </c>
      <c r="M546" s="900">
        <v>42941</v>
      </c>
      <c r="N546" s="900">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1">
        <f t="shared" si="102"/>
        <v>43280</v>
      </c>
      <c r="U546" s="62">
        <f t="shared" si="103"/>
        <v>10322963</v>
      </c>
      <c r="V546" s="172">
        <f>VLOOKUP(E546,Modificaciones!$B$7:$AU$900,46,0)</f>
        <v>8319996</v>
      </c>
      <c r="W546" s="93">
        <f t="shared" si="101"/>
        <v>2002967</v>
      </c>
      <c r="X546" s="309" t="s">
        <v>3086</v>
      </c>
      <c r="Y546" s="878">
        <f t="shared" si="104"/>
        <v>0.8059697588764001</v>
      </c>
      <c r="Z546" s="42">
        <f t="shared" ca="1" si="105"/>
        <v>1</v>
      </c>
      <c r="AA546" s="43">
        <f t="shared" ca="1" si="106"/>
        <v>0.1940302411235999</v>
      </c>
      <c r="AB546" s="202" t="str">
        <f t="shared" ca="1" si="107"/>
        <v/>
      </c>
      <c r="AC546" s="44" t="str">
        <f t="shared" si="109"/>
        <v>NO</v>
      </c>
      <c r="AD546" s="894"/>
      <c r="AE546" s="173" t="s">
        <v>1258</v>
      </c>
      <c r="AF546" s="281" t="s">
        <v>2113</v>
      </c>
      <c r="AG546" s="173" t="s">
        <v>1440</v>
      </c>
      <c r="AH546" s="281" t="s">
        <v>560</v>
      </c>
      <c r="AI546" s="305" t="s">
        <v>1510</v>
      </c>
      <c r="AJ546" s="305" t="s">
        <v>3821</v>
      </c>
      <c r="AK546" s="181" t="str">
        <f t="shared" ca="1" si="108"/>
        <v>TERMINO</v>
      </c>
      <c r="AL546" s="310" t="s">
        <v>582</v>
      </c>
      <c r="AM546" s="435" t="s">
        <v>390</v>
      </c>
      <c r="AN546" s="872" t="str">
        <f>IFERROR(VLOOKUP(E546,'liquidaciones '!$B$2:$C$1048576,2,0),"NO")</f>
        <v>NO</v>
      </c>
      <c r="AO546" s="972" t="str">
        <f>IFERROR(VLOOKUP(E546,'liquidaciones '!$B$2:$I$1048576,8,0),"")</f>
        <v/>
      </c>
      <c r="AP546" s="435"/>
      <c r="AQ546" s="435" t="s">
        <v>390</v>
      </c>
      <c r="AR546" s="435" t="s">
        <v>3535</v>
      </c>
      <c r="AS546" s="435" t="s">
        <v>3804</v>
      </c>
      <c r="AT546" s="995" t="s">
        <v>560</v>
      </c>
    </row>
    <row r="547" spans="3:46" ht="51.75" customHeight="1" x14ac:dyDescent="0.25">
      <c r="C547" s="893">
        <v>299</v>
      </c>
      <c r="D547" s="893"/>
      <c r="E547" s="894" t="s">
        <v>3087</v>
      </c>
      <c r="F547" s="443" t="s">
        <v>22</v>
      </c>
      <c r="G547" s="919" t="s">
        <v>3088</v>
      </c>
      <c r="H547" s="1037" t="s">
        <v>3089</v>
      </c>
      <c r="I547" s="93">
        <v>59500000</v>
      </c>
      <c r="J547" s="899" t="s">
        <v>3087</v>
      </c>
      <c r="K547" s="295">
        <v>2017</v>
      </c>
      <c r="L547" s="548">
        <v>42941</v>
      </c>
      <c r="M547" s="900">
        <v>42955</v>
      </c>
      <c r="N547" s="900">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1">
        <f t="shared" si="102"/>
        <v>43320</v>
      </c>
      <c r="U547" s="62">
        <f t="shared" si="103"/>
        <v>59500000</v>
      </c>
      <c r="V547" s="172">
        <f>VLOOKUP(E547,Modificaciones!$B$7:$AU$900,46,0)</f>
        <v>59500000</v>
      </c>
      <c r="W547" s="93">
        <f t="shared" si="101"/>
        <v>0</v>
      </c>
      <c r="X547" s="925" t="s">
        <v>3090</v>
      </c>
      <c r="Y547" s="878">
        <f t="shared" si="104"/>
        <v>1</v>
      </c>
      <c r="Z547" s="42">
        <f t="shared" ca="1" si="105"/>
        <v>1</v>
      </c>
      <c r="AA547" s="43">
        <f t="shared" ca="1" si="106"/>
        <v>0</v>
      </c>
      <c r="AB547" s="202" t="str">
        <f t="shared" ca="1" si="107"/>
        <v/>
      </c>
      <c r="AC547" s="44" t="str">
        <f t="shared" si="109"/>
        <v>SI</v>
      </c>
      <c r="AD547" s="762" t="s">
        <v>1713</v>
      </c>
      <c r="AE547" s="173" t="s">
        <v>1258</v>
      </c>
      <c r="AF547" s="897" t="s">
        <v>3091</v>
      </c>
      <c r="AG547" s="173" t="s">
        <v>1440</v>
      </c>
      <c r="AH547" s="281" t="s">
        <v>560</v>
      </c>
      <c r="AI547" s="305" t="s">
        <v>1510</v>
      </c>
      <c r="AJ547" s="305" t="s">
        <v>3821</v>
      </c>
      <c r="AK547" s="181" t="str">
        <f t="shared" ca="1" si="108"/>
        <v>TERMINO</v>
      </c>
      <c r="AL547" s="310" t="s">
        <v>582</v>
      </c>
      <c r="AM547" s="435" t="s">
        <v>390</v>
      </c>
      <c r="AN547" s="872" t="str">
        <f>IFERROR(VLOOKUP(E547,'liquidaciones '!$B$2:$C$1048576,2,0),"NO")</f>
        <v>NO</v>
      </c>
      <c r="AO547" s="972" t="str">
        <f>IFERROR(VLOOKUP(E547,'liquidaciones '!$B$2:$I$1048576,8,0),"")</f>
        <v/>
      </c>
      <c r="AP547" s="435"/>
      <c r="AQ547" s="435" t="s">
        <v>390</v>
      </c>
      <c r="AR547" s="435" t="s">
        <v>3535</v>
      </c>
      <c r="AS547" s="435" t="s">
        <v>3804</v>
      </c>
      <c r="AT547" s="995" t="s">
        <v>560</v>
      </c>
    </row>
    <row r="548" spans="3:46" ht="78.75" x14ac:dyDescent="0.25">
      <c r="C548" s="893">
        <v>146</v>
      </c>
      <c r="D548" s="893"/>
      <c r="E548" s="894" t="s">
        <v>3092</v>
      </c>
      <c r="F548" s="443" t="s">
        <v>3093</v>
      </c>
      <c r="G548" s="919">
        <v>100392583</v>
      </c>
      <c r="H548" s="1033" t="s">
        <v>3094</v>
      </c>
      <c r="I548" s="93">
        <v>39900000</v>
      </c>
      <c r="J548" s="899" t="s">
        <v>3092</v>
      </c>
      <c r="K548" s="295">
        <v>2017</v>
      </c>
      <c r="L548" s="548">
        <v>42961</v>
      </c>
      <c r="M548" s="900">
        <v>42969</v>
      </c>
      <c r="N548" s="900">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1">
        <f t="shared" si="102"/>
        <v>43281</v>
      </c>
      <c r="U548" s="62">
        <f t="shared" si="103"/>
        <v>58520000</v>
      </c>
      <c r="V548" s="172">
        <f>VLOOKUP(E548,Modificaciones!$B$7:$AU$900,46,0)</f>
        <v>58520000</v>
      </c>
      <c r="W548" s="93">
        <f t="shared" si="101"/>
        <v>0</v>
      </c>
      <c r="X548" s="309" t="s">
        <v>1095</v>
      </c>
      <c r="Y548" s="878">
        <f t="shared" si="104"/>
        <v>1</v>
      </c>
      <c r="Z548" s="42">
        <f t="shared" ca="1" si="105"/>
        <v>1</v>
      </c>
      <c r="AA548" s="43">
        <f t="shared" ca="1" si="106"/>
        <v>0</v>
      </c>
      <c r="AB548" s="202" t="str">
        <f t="shared" ca="1" si="107"/>
        <v/>
      </c>
      <c r="AC548" s="44" t="str">
        <f t="shared" si="109"/>
        <v>SI</v>
      </c>
      <c r="AD548" s="762" t="s">
        <v>1714</v>
      </c>
      <c r="AE548" s="173" t="s">
        <v>1258</v>
      </c>
      <c r="AF548" s="173" t="s">
        <v>2176</v>
      </c>
      <c r="AG548" s="173" t="s">
        <v>1178</v>
      </c>
      <c r="AH548" s="281" t="s">
        <v>559</v>
      </c>
      <c r="AI548" s="305"/>
      <c r="AJ548" s="305" t="s">
        <v>2845</v>
      </c>
      <c r="AK548" s="181" t="str">
        <f t="shared" ca="1" si="108"/>
        <v>TERMINO</v>
      </c>
      <c r="AL548" s="181" t="s">
        <v>582</v>
      </c>
      <c r="AM548" s="435" t="s">
        <v>391</v>
      </c>
      <c r="AN548" s="872" t="str">
        <f>IFERROR(VLOOKUP(E548,'liquidaciones '!$B$2:$C$1048576,2,0),"NO")</f>
        <v>EN TRÁMITE</v>
      </c>
      <c r="AO548" s="972">
        <f>IFERROR(VLOOKUP(E548,'liquidaciones '!$B$2:$I$1048576,8,0),"")</f>
        <v>0</v>
      </c>
      <c r="AP548" s="435"/>
      <c r="AQ548" s="435" t="s">
        <v>390</v>
      </c>
      <c r="AR548" s="177" t="s">
        <v>3069</v>
      </c>
      <c r="AS548" s="435"/>
      <c r="AT548" s="995" t="s">
        <v>3968</v>
      </c>
    </row>
    <row r="549" spans="3:46" ht="22.5" x14ac:dyDescent="0.25">
      <c r="C549" s="893">
        <v>168</v>
      </c>
      <c r="D549" s="893"/>
      <c r="E549" s="894" t="s">
        <v>3095</v>
      </c>
      <c r="F549" s="443" t="s">
        <v>15</v>
      </c>
      <c r="G549" s="934">
        <v>830067096</v>
      </c>
      <c r="H549" s="1033" t="s">
        <v>3096</v>
      </c>
      <c r="I549" s="93">
        <v>8010000</v>
      </c>
      <c r="J549" s="899" t="s">
        <v>3095</v>
      </c>
      <c r="K549" s="295">
        <v>2017</v>
      </c>
      <c r="L549" s="548">
        <v>42962</v>
      </c>
      <c r="M549" s="900">
        <v>42965</v>
      </c>
      <c r="N549" s="900">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1">
        <f t="shared" si="102"/>
        <v>43330</v>
      </c>
      <c r="U549" s="62">
        <f t="shared" si="103"/>
        <v>8010000</v>
      </c>
      <c r="V549" s="172">
        <f>VLOOKUP(E549,Modificaciones!$B$7:$AU$900,46,0)</f>
        <v>8010000</v>
      </c>
      <c r="W549" s="93">
        <f t="shared" si="101"/>
        <v>0</v>
      </c>
      <c r="X549" s="309" t="s">
        <v>1898</v>
      </c>
      <c r="Y549" s="878">
        <f t="shared" si="104"/>
        <v>1</v>
      </c>
      <c r="Z549" s="42">
        <f t="shared" ca="1" si="105"/>
        <v>1</v>
      </c>
      <c r="AA549" s="43">
        <f t="shared" ca="1" si="106"/>
        <v>0</v>
      </c>
      <c r="AB549" s="202" t="str">
        <f t="shared" ca="1" si="107"/>
        <v/>
      </c>
      <c r="AC549" s="44" t="str">
        <f t="shared" si="109"/>
        <v>SI</v>
      </c>
      <c r="AD549" s="762" t="s">
        <v>1717</v>
      </c>
      <c r="AE549" s="173"/>
      <c r="AF549" s="301" t="s">
        <v>1126</v>
      </c>
      <c r="AG549" s="173" t="s">
        <v>1431</v>
      </c>
      <c r="AH549" s="281" t="s">
        <v>564</v>
      </c>
      <c r="AI549" s="305"/>
      <c r="AJ549" s="305" t="s">
        <v>2845</v>
      </c>
      <c r="AK549" s="181" t="str">
        <f t="shared" ca="1" si="108"/>
        <v>TERMINO</v>
      </c>
      <c r="AL549" s="310" t="s">
        <v>582</v>
      </c>
      <c r="AM549" s="435" t="s">
        <v>390</v>
      </c>
      <c r="AN549" s="872" t="str">
        <f>IFERROR(VLOOKUP(E549,'liquidaciones '!$B$2:$C$1048576,2,0),"NO")</f>
        <v>EN TRÁMITE</v>
      </c>
      <c r="AO549" s="972">
        <f>IFERROR(VLOOKUP(E549,'liquidaciones '!$B$2:$I$1048576,8,0),"")</f>
        <v>0</v>
      </c>
      <c r="AP549" s="435"/>
      <c r="AQ549" s="435" t="s">
        <v>390</v>
      </c>
      <c r="AR549" s="177" t="s">
        <v>3069</v>
      </c>
      <c r="AS549" s="435"/>
      <c r="AT549" s="995" t="s">
        <v>3949</v>
      </c>
    </row>
    <row r="550" spans="3:46" ht="33.75" x14ac:dyDescent="0.25">
      <c r="C550" s="893"/>
      <c r="D550" s="893"/>
      <c r="E550" s="894" t="s">
        <v>3525</v>
      </c>
      <c r="F550" s="443" t="s">
        <v>3526</v>
      </c>
      <c r="G550" s="919">
        <v>1030659160</v>
      </c>
      <c r="H550" s="1037" t="s">
        <v>3527</v>
      </c>
      <c r="I550" s="93">
        <v>15750000</v>
      </c>
      <c r="J550" s="899" t="s">
        <v>3525</v>
      </c>
      <c r="K550" s="295">
        <v>2017</v>
      </c>
      <c r="L550" s="548">
        <v>42963</v>
      </c>
      <c r="M550" s="900">
        <v>42971</v>
      </c>
      <c r="N550" s="900">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1">
        <f t="shared" si="102"/>
        <v>43280</v>
      </c>
      <c r="U550" s="62">
        <f t="shared" si="103"/>
        <v>22875000</v>
      </c>
      <c r="V550" s="172">
        <f>VLOOKUP(E550,Modificaciones!$B$7:$AU$900,46,0)</f>
        <v>22875000</v>
      </c>
      <c r="W550" s="93">
        <f t="shared" si="101"/>
        <v>0</v>
      </c>
      <c r="X550" s="309" t="s">
        <v>1095</v>
      </c>
      <c r="Y550" s="878">
        <f t="shared" si="104"/>
        <v>1</v>
      </c>
      <c r="Z550" s="42">
        <f t="shared" ca="1" si="105"/>
        <v>1</v>
      </c>
      <c r="AA550" s="43">
        <f t="shared" ca="1" si="106"/>
        <v>0</v>
      </c>
      <c r="AB550" s="202" t="str">
        <f t="shared" ca="1" si="107"/>
        <v/>
      </c>
      <c r="AC550" s="44" t="str">
        <f t="shared" si="109"/>
        <v>SI</v>
      </c>
      <c r="AD550" s="762" t="s">
        <v>1714</v>
      </c>
      <c r="AE550" s="897" t="s">
        <v>1257</v>
      </c>
      <c r="AF550" s="281" t="s">
        <v>3084</v>
      </c>
      <c r="AG550" s="173" t="s">
        <v>1438</v>
      </c>
      <c r="AH550" s="281" t="s">
        <v>561</v>
      </c>
      <c r="AI550" s="894"/>
      <c r="AJ550" s="305" t="s">
        <v>3822</v>
      </c>
      <c r="AK550" s="181" t="str">
        <f t="shared" ca="1" si="108"/>
        <v>TERMINO</v>
      </c>
      <c r="AL550" s="310" t="s">
        <v>582</v>
      </c>
      <c r="AM550" s="435" t="s">
        <v>391</v>
      </c>
      <c r="AN550" s="872" t="str">
        <f>IFERROR(VLOOKUP(E550,'liquidaciones '!$B$2:$C$1048576,2,0),"NO")</f>
        <v>NO</v>
      </c>
      <c r="AO550" s="972" t="str">
        <f>IFERROR(VLOOKUP(E550,'liquidaciones '!$B$2:$I$1048576,8,0),"")</f>
        <v/>
      </c>
      <c r="AP550" s="435"/>
      <c r="AQ550" s="435" t="s">
        <v>390</v>
      </c>
      <c r="AR550" s="177" t="s">
        <v>1511</v>
      </c>
      <c r="AS550" s="435"/>
      <c r="AT550" s="995" t="s">
        <v>4216</v>
      </c>
    </row>
    <row r="551" spans="3:46" ht="30" x14ac:dyDescent="0.25">
      <c r="C551" s="893">
        <v>165</v>
      </c>
      <c r="D551" s="893"/>
      <c r="E551" s="894" t="s">
        <v>3536</v>
      </c>
      <c r="F551" s="443" t="s">
        <v>12</v>
      </c>
      <c r="G551" s="919">
        <v>805006014</v>
      </c>
      <c r="H551" s="1037" t="s">
        <v>3537</v>
      </c>
      <c r="I551" s="93">
        <v>1878120</v>
      </c>
      <c r="J551" s="899" t="s">
        <v>3538</v>
      </c>
      <c r="K551" s="295">
        <v>2017</v>
      </c>
      <c r="L551" s="548">
        <v>42961</v>
      </c>
      <c r="M551" s="900">
        <v>42963</v>
      </c>
      <c r="N551" s="900">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1">
        <f t="shared" si="102"/>
        <v>43327</v>
      </c>
      <c r="U551" s="62">
        <f t="shared" si="103"/>
        <v>1878120</v>
      </c>
      <c r="V551" s="172">
        <f>VLOOKUP(E551,Modificaciones!$B$7:$AU$900,46,0)</f>
        <v>1878120</v>
      </c>
      <c r="W551" s="93">
        <f t="shared" si="101"/>
        <v>0</v>
      </c>
      <c r="X551" s="309" t="s">
        <v>1898</v>
      </c>
      <c r="Y551" s="878">
        <f t="shared" si="104"/>
        <v>1</v>
      </c>
      <c r="Z551" s="42">
        <f t="shared" ca="1" si="105"/>
        <v>1</v>
      </c>
      <c r="AA551" s="43">
        <f t="shared" ca="1" si="106"/>
        <v>0</v>
      </c>
      <c r="AB551" s="202" t="str">
        <f t="shared" ca="1" si="107"/>
        <v/>
      </c>
      <c r="AC551" s="44" t="str">
        <f t="shared" si="109"/>
        <v>SI</v>
      </c>
      <c r="AD551" s="762" t="s">
        <v>1717</v>
      </c>
      <c r="AE551" s="173" t="s">
        <v>1257</v>
      </c>
      <c r="AF551" s="173" t="s">
        <v>1134</v>
      </c>
      <c r="AG551" s="173" t="s">
        <v>1443</v>
      </c>
      <c r="AH551" s="281" t="s">
        <v>560</v>
      </c>
      <c r="AI551" s="305"/>
      <c r="AJ551" s="305" t="s">
        <v>2845</v>
      </c>
      <c r="AK551" s="181" t="str">
        <f t="shared" ca="1" si="108"/>
        <v>TERMINO</v>
      </c>
      <c r="AL551" s="181" t="s">
        <v>576</v>
      </c>
      <c r="AM551" s="176" t="s">
        <v>390</v>
      </c>
      <c r="AN551" s="872" t="str">
        <f>IFERROR(VLOOKUP(E551,'liquidaciones '!$B$2:$C$1048576,2,0),"NO")</f>
        <v>NO</v>
      </c>
      <c r="AO551" s="972" t="str">
        <f>IFERROR(VLOOKUP(E551,'liquidaciones '!$B$2:$I$1048576,8,0),"")</f>
        <v/>
      </c>
      <c r="AP551" s="435"/>
      <c r="AQ551" s="177" t="s">
        <v>390</v>
      </c>
      <c r="AR551" s="177" t="s">
        <v>2991</v>
      </c>
      <c r="AS551" s="435"/>
      <c r="AT551" s="995" t="s">
        <v>3949</v>
      </c>
    </row>
    <row r="552" spans="3:46" ht="33.75" x14ac:dyDescent="0.25">
      <c r="C552" s="893">
        <v>210</v>
      </c>
      <c r="D552" s="893"/>
      <c r="E552" s="894" t="s">
        <v>3573</v>
      </c>
      <c r="F552" s="443" t="s">
        <v>3574</v>
      </c>
      <c r="G552" s="919">
        <v>900207129</v>
      </c>
      <c r="H552" s="1037" t="s">
        <v>3575</v>
      </c>
      <c r="I552" s="93">
        <v>3790032</v>
      </c>
      <c r="J552" s="899" t="s">
        <v>3728</v>
      </c>
      <c r="K552" s="295">
        <v>2017</v>
      </c>
      <c r="L552" s="548">
        <v>42971</v>
      </c>
      <c r="M552" s="928">
        <v>42982</v>
      </c>
      <c r="N552" s="928">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1">
        <f t="shared" si="102"/>
        <v>43073</v>
      </c>
      <c r="U552" s="62">
        <f t="shared" si="103"/>
        <v>3790032</v>
      </c>
      <c r="V552" s="172">
        <f>VLOOKUP(E552,Modificaciones!$B$7:$AU$900,46,0)</f>
        <v>3790020</v>
      </c>
      <c r="W552" s="93">
        <f t="shared" si="101"/>
        <v>12</v>
      </c>
      <c r="X552" s="309" t="s">
        <v>1898</v>
      </c>
      <c r="Y552" s="878">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3821</v>
      </c>
      <c r="AK552" s="181" t="str">
        <f t="shared" ca="1" si="108"/>
        <v>TERMINO</v>
      </c>
      <c r="AL552" s="310" t="s">
        <v>576</v>
      </c>
      <c r="AM552" s="435" t="s">
        <v>391</v>
      </c>
      <c r="AN552" s="872" t="str">
        <f>IFERROR(VLOOKUP(E552,'liquidaciones '!$B$2:$C$1048576,2,0),"NO")</f>
        <v>LIQUIDADO</v>
      </c>
      <c r="AO552" s="972">
        <f>IFERROR(VLOOKUP(E552,'liquidaciones '!$B$2:$I$1048576,8,0),"")</f>
        <v>0</v>
      </c>
      <c r="AP552" s="435"/>
      <c r="AQ552" s="435" t="s">
        <v>390</v>
      </c>
      <c r="AR552" s="177" t="s">
        <v>3069</v>
      </c>
      <c r="AS552" s="435" t="s">
        <v>3809</v>
      </c>
      <c r="AT552" s="995" t="s">
        <v>560</v>
      </c>
    </row>
    <row r="553" spans="3:46" ht="56.25" x14ac:dyDescent="0.25">
      <c r="C553" s="893">
        <v>151</v>
      </c>
      <c r="D553" s="893"/>
      <c r="E553" s="894" t="s">
        <v>3577</v>
      </c>
      <c r="F553" s="443" t="s">
        <v>3419</v>
      </c>
      <c r="G553" s="919" t="s">
        <v>3578</v>
      </c>
      <c r="H553" s="1037" t="s">
        <v>3579</v>
      </c>
      <c r="I553" s="93">
        <v>6956740</v>
      </c>
      <c r="J553" s="899" t="s">
        <v>3577</v>
      </c>
      <c r="K553" s="295">
        <v>2017</v>
      </c>
      <c r="L553" s="548">
        <v>42964</v>
      </c>
      <c r="M553" s="900">
        <v>42986</v>
      </c>
      <c r="N553" s="900">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1">
        <f t="shared" si="102"/>
        <v>43108</v>
      </c>
      <c r="U553" s="62">
        <f t="shared" si="103"/>
        <v>6956740</v>
      </c>
      <c r="V553" s="172">
        <f>VLOOKUP(E553,Modificaciones!$B$7:$AU$900,46,0)</f>
        <v>6956740</v>
      </c>
      <c r="W553" s="93">
        <f t="shared" si="101"/>
        <v>0</v>
      </c>
      <c r="X553" s="309" t="s">
        <v>3580</v>
      </c>
      <c r="Y553" s="878">
        <f t="shared" si="104"/>
        <v>1</v>
      </c>
      <c r="Z553" s="42">
        <f t="shared" ca="1" si="105"/>
        <v>1</v>
      </c>
      <c r="AA553" s="43">
        <f t="shared" ca="1" si="106"/>
        <v>0</v>
      </c>
      <c r="AB553" s="202" t="str">
        <f t="shared" ca="1" si="107"/>
        <v/>
      </c>
      <c r="AC553" s="44" t="str">
        <f t="shared" si="109"/>
        <v>SI</v>
      </c>
      <c r="AD553" s="762" t="s">
        <v>2574</v>
      </c>
      <c r="AE553" s="173" t="s">
        <v>1257</v>
      </c>
      <c r="AF553" s="281" t="s">
        <v>1977</v>
      </c>
      <c r="AG553" s="173"/>
      <c r="AH553" s="281" t="s">
        <v>563</v>
      </c>
      <c r="AI553" s="305" t="s">
        <v>1978</v>
      </c>
      <c r="AJ553" s="305" t="s">
        <v>3823</v>
      </c>
      <c r="AK553" s="181" t="str">
        <f t="shared" ca="1" si="108"/>
        <v>TERMINO</v>
      </c>
      <c r="AL553" s="310" t="s">
        <v>582</v>
      </c>
      <c r="AM553" s="435" t="s">
        <v>390</v>
      </c>
      <c r="AN553" s="872" t="str">
        <f>IFERROR(VLOOKUP(E553,'liquidaciones '!$B$2:$C$1048576,2,0),"NO")</f>
        <v>LIQUIDADO</v>
      </c>
      <c r="AO553" s="972">
        <f>IFERROR(VLOOKUP(E553,'liquidaciones '!$B$2:$I$1048576,8,0),"")</f>
        <v>0</v>
      </c>
      <c r="AP553" s="435"/>
      <c r="AQ553" s="435" t="s">
        <v>390</v>
      </c>
      <c r="AR553" s="177" t="s">
        <v>2991</v>
      </c>
      <c r="AS553" s="435"/>
      <c r="AT553" s="995" t="s">
        <v>4056</v>
      </c>
    </row>
    <row r="554" spans="3:46" ht="33.75" x14ac:dyDescent="0.25">
      <c r="C554" s="893"/>
      <c r="D554" s="893"/>
      <c r="E554" s="894" t="s">
        <v>3581</v>
      </c>
      <c r="F554" s="890" t="s">
        <v>203</v>
      </c>
      <c r="G554" s="930">
        <v>860049921</v>
      </c>
      <c r="H554" s="1037" t="s">
        <v>3665</v>
      </c>
      <c r="I554" s="93">
        <v>5217555</v>
      </c>
      <c r="J554" s="899" t="s">
        <v>3581</v>
      </c>
      <c r="K554" s="295">
        <v>2017</v>
      </c>
      <c r="L554" s="548">
        <v>42970</v>
      </c>
      <c r="M554" s="900">
        <v>42986</v>
      </c>
      <c r="N554" s="900">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1">
        <f t="shared" si="102"/>
        <v>43108</v>
      </c>
      <c r="U554" s="62">
        <f t="shared" si="103"/>
        <v>5217555</v>
      </c>
      <c r="V554" s="172">
        <f>VLOOKUP(E554,Modificaciones!$B$7:$AU$900,46,0)</f>
        <v>5217555</v>
      </c>
      <c r="W554" s="93">
        <f t="shared" si="101"/>
        <v>0</v>
      </c>
      <c r="X554" s="309" t="s">
        <v>3582</v>
      </c>
      <c r="Y554" s="878">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3823</v>
      </c>
      <c r="AK554" s="181" t="str">
        <f t="shared" ca="1" si="108"/>
        <v>TERMINO</v>
      </c>
      <c r="AL554" s="181" t="s">
        <v>582</v>
      </c>
      <c r="AM554" s="435" t="s">
        <v>390</v>
      </c>
      <c r="AN554" s="872" t="str">
        <f>IFERROR(VLOOKUP(E554,'liquidaciones '!$B$2:$C$1048576,2,0),"NO")</f>
        <v>LIQUIDADO</v>
      </c>
      <c r="AO554" s="972">
        <f>IFERROR(VLOOKUP(E554,'liquidaciones '!$B$2:$I$1048576,8,0),"")</f>
        <v>0</v>
      </c>
      <c r="AP554" s="435"/>
      <c r="AQ554" s="435" t="s">
        <v>390</v>
      </c>
      <c r="AR554" s="177" t="s">
        <v>2991</v>
      </c>
      <c r="AS554" s="435"/>
      <c r="AT554" s="995" t="s">
        <v>4056</v>
      </c>
    </row>
    <row r="555" spans="3:46" ht="90" x14ac:dyDescent="0.25">
      <c r="C555" s="893">
        <v>197</v>
      </c>
      <c r="D555" s="893"/>
      <c r="E555" s="894" t="s">
        <v>3583</v>
      </c>
      <c r="F555" s="443" t="s">
        <v>3977</v>
      </c>
      <c r="G555" s="919" t="s">
        <v>3584</v>
      </c>
      <c r="H555" s="1037" t="s">
        <v>3585</v>
      </c>
      <c r="I555" s="93">
        <v>259000000</v>
      </c>
      <c r="J555" s="899" t="s">
        <v>3586</v>
      </c>
      <c r="K555" s="295">
        <v>2017</v>
      </c>
      <c r="L555" s="548">
        <v>42975</v>
      </c>
      <c r="M555" s="900">
        <v>42990</v>
      </c>
      <c r="N555" s="900">
        <v>43355</v>
      </c>
      <c r="O555" s="127">
        <f>COUNTA(Modificaciones!I541,Modificaciones!K541,Modificaciones!M541,Modificaciones!O541)</f>
        <v>1</v>
      </c>
      <c r="P555" s="128">
        <f>VLOOKUP(E555,Modificaciones!$B$7:$Q$900,16,0)</f>
        <v>130000000</v>
      </c>
      <c r="Q555" s="129">
        <f>COUNTA(Modificaciones!S555,Modificaciones!U555,Modificaciones!W555,Modificaciones!Y555)</f>
        <v>1</v>
      </c>
      <c r="R555" s="130" t="str">
        <f>IF(Modificaciones!Z555=0,"",VLOOKUP(E555,Modificaciones!$B$7:$AA$1500,25,0))</f>
        <v>3 meses</v>
      </c>
      <c r="S555" s="131">
        <f>IF(Modificaciones!AA555=0,"",VLOOKUP(E555,Modificaciones!$B$7:$AA$1500,26,0))</f>
        <v>43446</v>
      </c>
      <c r="T555" s="881">
        <f t="shared" si="102"/>
        <v>43446</v>
      </c>
      <c r="U555" s="62">
        <f t="shared" si="103"/>
        <v>389000000</v>
      </c>
      <c r="V555" s="172">
        <f>VLOOKUP(E555,Modificaciones!$B$7:$AU$900,46,0)</f>
        <v>232986350</v>
      </c>
      <c r="W555" s="93">
        <f t="shared" si="101"/>
        <v>156013650</v>
      </c>
      <c r="X555" s="309"/>
      <c r="Y555" s="878">
        <f t="shared" si="104"/>
        <v>0.59893663239074546</v>
      </c>
      <c r="Z555" s="42">
        <f t="shared" ca="1" si="105"/>
        <v>0.86184210526315785</v>
      </c>
      <c r="AA555" s="43">
        <f t="shared" ca="1" si="106"/>
        <v>0.26290547287241239</v>
      </c>
      <c r="AB555" s="202">
        <f t="shared" ca="1" si="107"/>
        <v>63</v>
      </c>
      <c r="AC555" s="44" t="str">
        <f t="shared" si="109"/>
        <v>NO</v>
      </c>
      <c r="AD555" s="762" t="s">
        <v>1720</v>
      </c>
      <c r="AE555" s="173" t="s">
        <v>1257</v>
      </c>
      <c r="AF555" s="281" t="s">
        <v>2560</v>
      </c>
      <c r="AG555" s="173"/>
      <c r="AH555" s="281"/>
      <c r="AI555" s="305" t="s">
        <v>1381</v>
      </c>
      <c r="AJ555" s="305" t="s">
        <v>2845</v>
      </c>
      <c r="AK555" s="181" t="str">
        <f t="shared" ca="1" si="108"/>
        <v>EN EJECUCIÓN</v>
      </c>
      <c r="AL555" s="310" t="s">
        <v>574</v>
      </c>
      <c r="AM555" s="176" t="s">
        <v>390</v>
      </c>
      <c r="AN555" s="872" t="str">
        <f>IFERROR(VLOOKUP(E555,'liquidaciones '!$B$2:$C$1048576,2,0),"NO")</f>
        <v>NO</v>
      </c>
      <c r="AO555" s="972" t="str">
        <f>IFERROR(VLOOKUP(E555,'liquidaciones '!$B$2:$I$1048576,8,0),"")</f>
        <v/>
      </c>
      <c r="AP555" s="435"/>
      <c r="AQ555" s="177" t="s">
        <v>390</v>
      </c>
      <c r="AR555" s="177" t="s">
        <v>4299</v>
      </c>
      <c r="AS555" s="435"/>
      <c r="AT555" s="995" t="s">
        <v>3968</v>
      </c>
    </row>
    <row r="556" spans="3:46" ht="22.5" x14ac:dyDescent="0.25">
      <c r="C556" s="893">
        <v>170</v>
      </c>
      <c r="D556" s="893"/>
      <c r="E556" s="894" t="s">
        <v>3591</v>
      </c>
      <c r="F556" s="443" t="s">
        <v>3592</v>
      </c>
      <c r="G556" s="919">
        <v>901017183</v>
      </c>
      <c r="H556" s="1037" t="s">
        <v>3593</v>
      </c>
      <c r="I556" s="93">
        <v>840000</v>
      </c>
      <c r="J556" s="899" t="s">
        <v>3591</v>
      </c>
      <c r="K556" s="295">
        <v>2017</v>
      </c>
      <c r="L556" s="548">
        <v>42983</v>
      </c>
      <c r="M556" s="900">
        <v>43069</v>
      </c>
      <c r="N556" s="900">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1">
        <f t="shared" si="102"/>
        <v>43434</v>
      </c>
      <c r="U556" s="62">
        <f t="shared" si="103"/>
        <v>840000</v>
      </c>
      <c r="V556" s="172">
        <f>VLOOKUP(E556,Modificaciones!$B$7:$AU$900,46,0)</f>
        <v>840000</v>
      </c>
      <c r="W556" s="93">
        <f t="shared" si="101"/>
        <v>0</v>
      </c>
      <c r="X556" s="309" t="s">
        <v>2118</v>
      </c>
      <c r="Y556" s="878">
        <f t="shared" si="104"/>
        <v>1</v>
      </c>
      <c r="Z556" s="42">
        <f t="shared" ca="1" si="105"/>
        <v>0.86027397260273974</v>
      </c>
      <c r="AA556" s="43">
        <f t="shared" ca="1" si="106"/>
        <v>-0.13972602739726026</v>
      </c>
      <c r="AB556" s="202">
        <f t="shared" ca="1" si="107"/>
        <v>51</v>
      </c>
      <c r="AC556" s="44" t="str">
        <f t="shared" si="109"/>
        <v>SI</v>
      </c>
      <c r="AD556" s="762" t="s">
        <v>1717</v>
      </c>
      <c r="AE556" s="173" t="s">
        <v>1257</v>
      </c>
      <c r="AF556" s="281" t="s">
        <v>1126</v>
      </c>
      <c r="AG556" s="173" t="s">
        <v>1431</v>
      </c>
      <c r="AH556" s="281" t="s">
        <v>564</v>
      </c>
      <c r="AI556" s="305"/>
      <c r="AJ556" s="305" t="s">
        <v>3824</v>
      </c>
      <c r="AK556" s="181" t="str">
        <f t="shared" ca="1" si="108"/>
        <v>EN EJECUCIÓN</v>
      </c>
      <c r="AL556" s="310" t="s">
        <v>582</v>
      </c>
      <c r="AM556" s="176" t="s">
        <v>390</v>
      </c>
      <c r="AN556" s="872" t="str">
        <f>IFERROR(VLOOKUP(E556,'liquidaciones '!$B$2:$C$1048576,2,0),"NO")</f>
        <v>NO</v>
      </c>
      <c r="AO556" s="972" t="str">
        <f>IFERROR(VLOOKUP(E556,'liquidaciones '!$B$2:$I$1048576,8,0),"")</f>
        <v/>
      </c>
      <c r="AP556" s="435"/>
      <c r="AQ556" s="435" t="s">
        <v>390</v>
      </c>
      <c r="AR556" s="177" t="s">
        <v>2977</v>
      </c>
      <c r="AS556" s="435"/>
      <c r="AT556" s="995" t="s">
        <v>3949</v>
      </c>
    </row>
    <row r="557" spans="3:46" ht="56.25" x14ac:dyDescent="0.25">
      <c r="C557" s="893">
        <v>206</v>
      </c>
      <c r="D557" s="893"/>
      <c r="E557" s="894" t="s">
        <v>3594</v>
      </c>
      <c r="F557" s="443" t="s">
        <v>3595</v>
      </c>
      <c r="G557" s="919" t="s">
        <v>3596</v>
      </c>
      <c r="H557" s="1037" t="s">
        <v>3597</v>
      </c>
      <c r="I557" s="93">
        <v>855382000</v>
      </c>
      <c r="J557" s="899" t="s">
        <v>3598</v>
      </c>
      <c r="K557" s="295">
        <v>2017</v>
      </c>
      <c r="L557" s="548">
        <v>42984</v>
      </c>
      <c r="M557" s="900">
        <v>42999</v>
      </c>
      <c r="N557" s="900">
        <v>43241</v>
      </c>
      <c r="O557" s="127">
        <f>COUNTA(Modificaciones!I543,Modificaciones!K543,Modificaciones!M543,Modificaciones!O543)</f>
        <v>2</v>
      </c>
      <c r="P557" s="128">
        <f>VLOOKUP(E557,Modificaciones!$B$7:$Q$900,16,0)</f>
        <v>0</v>
      </c>
      <c r="Q557" s="129">
        <f>COUNTA(Modificaciones!S557,Modificaciones!U557,Modificaciones!W557,Modificaciones!Y557)</f>
        <v>3</v>
      </c>
      <c r="R557" s="130" t="str">
        <f>IF(Modificaciones!Z557=0,"",VLOOKUP(E557,Modificaciones!$B$7:$AA$1500,25,0))</f>
        <v>4 meses y 10 días</v>
      </c>
      <c r="S557" s="131">
        <f>IF(Modificaciones!AA557=0,"",VLOOKUP(E557,Modificaciones!$B$7:$AA$1500,26,0))</f>
        <v>43373</v>
      </c>
      <c r="T557" s="881">
        <f t="shared" si="102"/>
        <v>43373</v>
      </c>
      <c r="U557" s="62">
        <f t="shared" si="103"/>
        <v>855382000</v>
      </c>
      <c r="V557" s="172">
        <f>VLOOKUP(E557,Modificaciones!$B$7:$AU$900,46,0)</f>
        <v>478023100</v>
      </c>
      <c r="W557" s="93">
        <f t="shared" si="101"/>
        <v>377358900</v>
      </c>
      <c r="X557" s="309" t="s">
        <v>2668</v>
      </c>
      <c r="Y557" s="878">
        <f t="shared" si="104"/>
        <v>0.55884166372451138</v>
      </c>
      <c r="Z557" s="42">
        <f t="shared" ca="1" si="105"/>
        <v>1</v>
      </c>
      <c r="AA557" s="43">
        <f t="shared" ca="1" si="106"/>
        <v>0.44115833627548862</v>
      </c>
      <c r="AB557" s="202" t="str">
        <f t="shared" ca="1" si="107"/>
        <v/>
      </c>
      <c r="AC557" s="44" t="str">
        <f t="shared" si="109"/>
        <v>NO</v>
      </c>
      <c r="AD557" s="762" t="s">
        <v>1713</v>
      </c>
      <c r="AE557" s="173" t="s">
        <v>1257</v>
      </c>
      <c r="AF557" s="281" t="s">
        <v>1281</v>
      </c>
      <c r="AG557" s="173" t="s">
        <v>1436</v>
      </c>
      <c r="AH557" s="281" t="s">
        <v>560</v>
      </c>
      <c r="AI557" s="305" t="s">
        <v>1387</v>
      </c>
      <c r="AJ557" s="305" t="s">
        <v>3821</v>
      </c>
      <c r="AK557" s="181" t="str">
        <f t="shared" ca="1" si="108"/>
        <v>TERMINO</v>
      </c>
      <c r="AL557" s="310" t="s">
        <v>573</v>
      </c>
      <c r="AM557" s="435" t="s">
        <v>390</v>
      </c>
      <c r="AN557" s="872" t="str">
        <f>IFERROR(VLOOKUP(E557,'liquidaciones '!$B$2:$C$1048576,2,0),"NO")</f>
        <v>NO</v>
      </c>
      <c r="AO557" s="972" t="str">
        <f>IFERROR(VLOOKUP(E557,'liquidaciones '!$B$2:$I$1048576,8,0),"")</f>
        <v/>
      </c>
      <c r="AP557" s="435"/>
      <c r="AQ557" s="435" t="s">
        <v>390</v>
      </c>
      <c r="AR557" s="177" t="s">
        <v>1511</v>
      </c>
      <c r="AS557" s="435" t="s">
        <v>3805</v>
      </c>
      <c r="AT557" s="995" t="s">
        <v>560</v>
      </c>
    </row>
    <row r="558" spans="3:46" ht="56.25" x14ac:dyDescent="0.25">
      <c r="C558" s="893">
        <v>154</v>
      </c>
      <c r="D558" s="893"/>
      <c r="E558" s="894" t="s">
        <v>3599</v>
      </c>
      <c r="F558" s="443" t="s">
        <v>3600</v>
      </c>
      <c r="G558" s="919">
        <v>52733413</v>
      </c>
      <c r="H558" s="1033" t="s">
        <v>2507</v>
      </c>
      <c r="I558" s="93">
        <v>22800000</v>
      </c>
      <c r="J558" s="899" t="s">
        <v>3599</v>
      </c>
      <c r="K558" s="295">
        <v>2017</v>
      </c>
      <c r="L558" s="548">
        <v>42984</v>
      </c>
      <c r="M558" s="900">
        <v>42997</v>
      </c>
      <c r="N558" s="900">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1">
        <f t="shared" si="102"/>
        <v>43119</v>
      </c>
      <c r="U558" s="62">
        <f t="shared" si="103"/>
        <v>22800000</v>
      </c>
      <c r="V558" s="172">
        <f>VLOOKUP(E558,Modificaciones!$B$7:$AU$900,46,0)</f>
        <v>22800000</v>
      </c>
      <c r="W558" s="93">
        <f t="shared" si="101"/>
        <v>0</v>
      </c>
      <c r="X558" s="309" t="s">
        <v>1970</v>
      </c>
      <c r="Y558" s="878">
        <f t="shared" si="104"/>
        <v>1</v>
      </c>
      <c r="Z558" s="42">
        <f t="shared" ca="1" si="105"/>
        <v>1</v>
      </c>
      <c r="AA558" s="43">
        <f t="shared" ca="1" si="106"/>
        <v>0</v>
      </c>
      <c r="AB558" s="202" t="str">
        <f t="shared" ca="1" si="107"/>
        <v/>
      </c>
      <c r="AC558" s="44" t="str">
        <f t="shared" si="109"/>
        <v>SI</v>
      </c>
      <c r="AD558" s="762" t="s">
        <v>1714</v>
      </c>
      <c r="AE558" s="173" t="s">
        <v>1257</v>
      </c>
      <c r="AF558" s="281" t="s">
        <v>1971</v>
      </c>
      <c r="AG558" s="173" t="s">
        <v>1430</v>
      </c>
      <c r="AH558" s="281" t="s">
        <v>563</v>
      </c>
      <c r="AI558" s="305"/>
      <c r="AJ558" s="305" t="s">
        <v>3821</v>
      </c>
      <c r="AK558" s="181" t="str">
        <f t="shared" ca="1" si="108"/>
        <v>TERMINO</v>
      </c>
      <c r="AL558" s="310" t="s">
        <v>582</v>
      </c>
      <c r="AM558" s="435" t="s">
        <v>391</v>
      </c>
      <c r="AN558" s="872" t="str">
        <f>IFERROR(VLOOKUP(E558,'liquidaciones '!$B$2:$C$1048576,2,0),"NO")</f>
        <v>LIQUIDADO</v>
      </c>
      <c r="AO558" s="972">
        <f>IFERROR(VLOOKUP(E558,'liquidaciones '!$B$2:$I$1048576,8,0),"")</f>
        <v>0</v>
      </c>
      <c r="AP558" s="435"/>
      <c r="AQ558" s="435" t="s">
        <v>390</v>
      </c>
      <c r="AR558" s="177" t="s">
        <v>3069</v>
      </c>
      <c r="AS558" s="435" t="s">
        <v>3843</v>
      </c>
      <c r="AT558" s="995" t="s">
        <v>560</v>
      </c>
    </row>
    <row r="559" spans="3:46" ht="123.75" x14ac:dyDescent="0.25">
      <c r="C559" s="893">
        <v>226</v>
      </c>
      <c r="D559" s="893"/>
      <c r="E559" s="894" t="s">
        <v>3606</v>
      </c>
      <c r="F559" s="443" t="s">
        <v>3607</v>
      </c>
      <c r="G559" s="919">
        <v>900446648</v>
      </c>
      <c r="H559" s="1037" t="s">
        <v>3608</v>
      </c>
      <c r="I559" s="93">
        <v>12595436</v>
      </c>
      <c r="J559" s="899" t="s">
        <v>3610</v>
      </c>
      <c r="K559" s="295">
        <v>2017</v>
      </c>
      <c r="L559" s="548">
        <v>42993</v>
      </c>
      <c r="M559" s="900">
        <v>42999</v>
      </c>
      <c r="N559" s="900">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1">
        <f t="shared" si="102"/>
        <v>43364</v>
      </c>
      <c r="U559" s="62">
        <f t="shared" si="103"/>
        <v>12595436</v>
      </c>
      <c r="V559" s="172">
        <f>VLOOKUP(E559,Modificaciones!$B$7:$AU$900,46,0)</f>
        <v>12595436</v>
      </c>
      <c r="W559" s="93">
        <f t="shared" si="101"/>
        <v>0</v>
      </c>
      <c r="X559" s="315" t="s">
        <v>3609</v>
      </c>
      <c r="Y559" s="878">
        <f t="shared" si="104"/>
        <v>1</v>
      </c>
      <c r="Z559" s="42">
        <f t="shared" ca="1" si="105"/>
        <v>1</v>
      </c>
      <c r="AA559" s="43">
        <f t="shared" ca="1" si="106"/>
        <v>0</v>
      </c>
      <c r="AB559" s="202" t="str">
        <f t="shared" ca="1" si="107"/>
        <v/>
      </c>
      <c r="AC559" s="44" t="str">
        <f t="shared" si="109"/>
        <v>SI</v>
      </c>
      <c r="AD559" s="894" t="s">
        <v>1715</v>
      </c>
      <c r="AE559" s="897" t="s">
        <v>1258</v>
      </c>
      <c r="AF559" s="897" t="s">
        <v>1175</v>
      </c>
      <c r="AG559" s="173" t="s">
        <v>1440</v>
      </c>
      <c r="AH559" s="281" t="s">
        <v>560</v>
      </c>
      <c r="AI559" s="305" t="s">
        <v>1510</v>
      </c>
      <c r="AJ559" s="305" t="s">
        <v>3821</v>
      </c>
      <c r="AK559" s="181" t="str">
        <f t="shared" ca="1" si="108"/>
        <v>TERMINO</v>
      </c>
      <c r="AL559" s="443" t="s">
        <v>2918</v>
      </c>
      <c r="AM559" s="435" t="s">
        <v>390</v>
      </c>
      <c r="AN559" s="872" t="str">
        <f>IFERROR(VLOOKUP(E559,'liquidaciones '!$B$2:$C$1048576,2,0),"NO")</f>
        <v>NO</v>
      </c>
      <c r="AO559" s="972" t="str">
        <f>IFERROR(VLOOKUP(E559,'liquidaciones '!$B$2:$I$1048576,8,0),"")</f>
        <v/>
      </c>
      <c r="AP559" s="435"/>
      <c r="AQ559" s="435" t="s">
        <v>390</v>
      </c>
      <c r="AR559" s="177" t="s">
        <v>4257</v>
      </c>
      <c r="AS559" s="435" t="s">
        <v>3804</v>
      </c>
      <c r="AT559" s="995" t="s">
        <v>560</v>
      </c>
    </row>
    <row r="560" spans="3:46" ht="33.75" x14ac:dyDescent="0.25">
      <c r="C560" s="893">
        <v>187</v>
      </c>
      <c r="D560" s="893"/>
      <c r="E560" s="894" t="s">
        <v>3611</v>
      </c>
      <c r="F560" s="443" t="s">
        <v>3612</v>
      </c>
      <c r="G560" s="919">
        <v>830085106</v>
      </c>
      <c r="H560" s="1037" t="s">
        <v>3613</v>
      </c>
      <c r="I560" s="93">
        <v>6711600</v>
      </c>
      <c r="J560" s="899" t="s">
        <v>3615</v>
      </c>
      <c r="K560" s="295">
        <v>2017</v>
      </c>
      <c r="L560" s="548">
        <v>42996</v>
      </c>
      <c r="M560" s="900">
        <v>43004</v>
      </c>
      <c r="N560" s="900">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1">
        <f t="shared" si="102"/>
        <v>43185</v>
      </c>
      <c r="U560" s="62">
        <f t="shared" si="103"/>
        <v>6711600</v>
      </c>
      <c r="V560" s="172">
        <f>VLOOKUP(E560,Modificaciones!$B$7:$AU$900,46,0)</f>
        <v>6711600</v>
      </c>
      <c r="W560" s="93">
        <f t="shared" si="101"/>
        <v>0</v>
      </c>
      <c r="X560" s="309" t="s">
        <v>1961</v>
      </c>
      <c r="Y560" s="878">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3821</v>
      </c>
      <c r="AK560" s="181" t="str">
        <f t="shared" ca="1" si="108"/>
        <v>TERMINO</v>
      </c>
      <c r="AL560" s="310" t="s">
        <v>576</v>
      </c>
      <c r="AM560" s="176" t="s">
        <v>390</v>
      </c>
      <c r="AN560" s="872" t="str">
        <f>IFERROR(VLOOKUP(E560,'liquidaciones '!$B$2:$C$1048576,2,0),"NO")</f>
        <v>LIQUIDADO</v>
      </c>
      <c r="AO560" s="972">
        <f>IFERROR(VLOOKUP(E560,'liquidaciones '!$B$2:$I$1048576,8,0),"")</f>
        <v>0</v>
      </c>
      <c r="AP560" s="435"/>
      <c r="AQ560" s="435" t="s">
        <v>390</v>
      </c>
      <c r="AR560" s="177" t="s">
        <v>1511</v>
      </c>
      <c r="AS560" s="435" t="s">
        <v>1380</v>
      </c>
      <c r="AT560" s="995" t="s">
        <v>560</v>
      </c>
    </row>
    <row r="561" spans="3:46" ht="22.5" x14ac:dyDescent="0.25">
      <c r="C561" s="893">
        <v>171</v>
      </c>
      <c r="D561" s="893"/>
      <c r="E561" s="894" t="s">
        <v>3614</v>
      </c>
      <c r="F561" s="443" t="s">
        <v>2120</v>
      </c>
      <c r="G561" s="930">
        <v>860007590</v>
      </c>
      <c r="H561" s="1033" t="s">
        <v>2653</v>
      </c>
      <c r="I561" s="93">
        <v>1185000</v>
      </c>
      <c r="J561" s="899" t="s">
        <v>3614</v>
      </c>
      <c r="K561" s="295">
        <v>2017</v>
      </c>
      <c r="L561" s="548">
        <v>42998</v>
      </c>
      <c r="M561" s="900">
        <v>43010</v>
      </c>
      <c r="N561" s="900">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1">
        <f t="shared" si="102"/>
        <v>43375</v>
      </c>
      <c r="U561" s="62">
        <f t="shared" si="103"/>
        <v>1185000</v>
      </c>
      <c r="V561" s="172">
        <f>VLOOKUP(E561,Modificaciones!$B$7:$AU$900,46,0)</f>
        <v>1185000</v>
      </c>
      <c r="W561" s="93">
        <f t="shared" si="101"/>
        <v>0</v>
      </c>
      <c r="X561" s="309" t="s">
        <v>2096</v>
      </c>
      <c r="Y561" s="878">
        <f t="shared" si="104"/>
        <v>1</v>
      </c>
      <c r="Z561" s="42">
        <f t="shared" ca="1" si="105"/>
        <v>1</v>
      </c>
      <c r="AA561" s="43">
        <f t="shared" ca="1" si="106"/>
        <v>0</v>
      </c>
      <c r="AB561" s="202" t="str">
        <f t="shared" ca="1" si="107"/>
        <v/>
      </c>
      <c r="AC561" s="44" t="str">
        <f t="shared" si="109"/>
        <v>SI</v>
      </c>
      <c r="AD561" s="762" t="s">
        <v>1717</v>
      </c>
      <c r="AE561" s="173" t="s">
        <v>1257</v>
      </c>
      <c r="AF561" s="281" t="s">
        <v>1126</v>
      </c>
      <c r="AG561" s="173" t="s">
        <v>1431</v>
      </c>
      <c r="AH561" s="281" t="s">
        <v>564</v>
      </c>
      <c r="AI561" s="305"/>
      <c r="AJ561" s="305" t="s">
        <v>3824</v>
      </c>
      <c r="AK561" s="181" t="str">
        <f t="shared" ca="1" si="108"/>
        <v>TERMINO</v>
      </c>
      <c r="AL561" s="310" t="s">
        <v>582</v>
      </c>
      <c r="AM561" s="176" t="s">
        <v>390</v>
      </c>
      <c r="AN561" s="872" t="str">
        <f>IFERROR(VLOOKUP(E561,'liquidaciones '!$B$2:$C$1048576,2,0),"NO")</f>
        <v>NO</v>
      </c>
      <c r="AO561" s="972" t="str">
        <f>IFERROR(VLOOKUP(E561,'liquidaciones '!$B$2:$I$1048576,8,0),"")</f>
        <v/>
      </c>
      <c r="AP561" s="435"/>
      <c r="AQ561" s="177" t="s">
        <v>390</v>
      </c>
      <c r="AR561" s="177" t="s">
        <v>3069</v>
      </c>
      <c r="AS561" s="435"/>
      <c r="AT561" s="995" t="s">
        <v>3949</v>
      </c>
    </row>
    <row r="562" spans="3:46" ht="56.25" x14ac:dyDescent="0.25">
      <c r="C562" s="893"/>
      <c r="D562" s="893"/>
      <c r="E562" s="894" t="s">
        <v>3617</v>
      </c>
      <c r="F562" s="443" t="s">
        <v>3618</v>
      </c>
      <c r="G562" s="919">
        <v>1022949330</v>
      </c>
      <c r="H562" s="1037" t="s">
        <v>3619</v>
      </c>
      <c r="I562" s="93">
        <v>7500000</v>
      </c>
      <c r="J562" s="899" t="s">
        <v>3617</v>
      </c>
      <c r="K562" s="295">
        <v>2017</v>
      </c>
      <c r="L562" s="548">
        <v>42999</v>
      </c>
      <c r="M562" s="900">
        <v>43006</v>
      </c>
      <c r="N562" s="900">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1">
        <f t="shared" si="102"/>
        <v>43125</v>
      </c>
      <c r="U562" s="62">
        <f t="shared" si="103"/>
        <v>7500000</v>
      </c>
      <c r="V562" s="172">
        <f>VLOOKUP(E562,Modificaciones!$B$7:$AU$900,46,0)</f>
        <v>7375000</v>
      </c>
      <c r="W562" s="93">
        <f t="shared" si="101"/>
        <v>125000</v>
      </c>
      <c r="X562" s="309" t="s">
        <v>1970</v>
      </c>
      <c r="Y562" s="878">
        <f t="shared" si="104"/>
        <v>0.98333333333333328</v>
      </c>
      <c r="Z562" s="42">
        <f t="shared" ca="1" si="105"/>
        <v>1</v>
      </c>
      <c r="AA562" s="43">
        <f t="shared" ca="1" si="106"/>
        <v>1.6666666666666718E-2</v>
      </c>
      <c r="AB562" s="202" t="str">
        <f t="shared" ca="1" si="107"/>
        <v/>
      </c>
      <c r="AC562" s="44" t="str">
        <f t="shared" ref="AC562:AC593" si="110">IF(Y562&lt;=99.9%,"NO","SI")</f>
        <v>NO</v>
      </c>
      <c r="AD562" s="762" t="s">
        <v>1714</v>
      </c>
      <c r="AE562" s="173" t="s">
        <v>1257</v>
      </c>
      <c r="AF562" s="281" t="s">
        <v>3620</v>
      </c>
      <c r="AG562" s="894" t="s">
        <v>3621</v>
      </c>
      <c r="AH562" s="281" t="s">
        <v>560</v>
      </c>
      <c r="AI562" s="894" t="s">
        <v>3622</v>
      </c>
      <c r="AJ562" s="305" t="s">
        <v>3821</v>
      </c>
      <c r="AK562" s="181" t="str">
        <f t="shared" ca="1" si="108"/>
        <v>TERMINO</v>
      </c>
      <c r="AL562" s="310" t="s">
        <v>582</v>
      </c>
      <c r="AM562" s="435" t="s">
        <v>391</v>
      </c>
      <c r="AN562" s="872" t="str">
        <f>IFERROR(VLOOKUP(E562,'liquidaciones '!$B$2:$C$1048576,2,0),"NO")</f>
        <v>LIQUIDADO</v>
      </c>
      <c r="AO562" s="972">
        <f>IFERROR(VLOOKUP(E562,'liquidaciones '!$B$2:$I$1048576,8,0),"")</f>
        <v>0</v>
      </c>
      <c r="AP562" s="435"/>
      <c r="AQ562" s="435" t="s">
        <v>390</v>
      </c>
      <c r="AR562" s="177" t="s">
        <v>3589</v>
      </c>
      <c r="AS562" s="435" t="s">
        <v>3800</v>
      </c>
      <c r="AT562" s="995" t="s">
        <v>560</v>
      </c>
    </row>
    <row r="563" spans="3:46" ht="67.5" x14ac:dyDescent="0.25">
      <c r="C563" s="893">
        <v>86</v>
      </c>
      <c r="D563" s="893"/>
      <c r="E563" s="894" t="s">
        <v>3623</v>
      </c>
      <c r="F563" s="443" t="s">
        <v>1865</v>
      </c>
      <c r="G563" s="919">
        <v>830124848</v>
      </c>
      <c r="H563" s="1033" t="s">
        <v>3624</v>
      </c>
      <c r="I563" s="93">
        <v>30000000</v>
      </c>
      <c r="J563" s="899" t="s">
        <v>3625</v>
      </c>
      <c r="K563" s="295">
        <v>2017</v>
      </c>
      <c r="L563" s="548">
        <v>42993</v>
      </c>
      <c r="M563" s="900">
        <v>43020</v>
      </c>
      <c r="N563" s="900">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1">
        <f t="shared" si="102"/>
        <v>43293</v>
      </c>
      <c r="U563" s="62">
        <f t="shared" si="103"/>
        <v>40000000</v>
      </c>
      <c r="V563" s="172">
        <f>VLOOKUP(E563,Modificaciones!$B$7:$AU$900,46,0)</f>
        <v>39991153</v>
      </c>
      <c r="W563" s="93">
        <f t="shared" si="101"/>
        <v>8847</v>
      </c>
      <c r="X563" s="309" t="s">
        <v>1867</v>
      </c>
      <c r="Y563" s="878">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3821</v>
      </c>
      <c r="AK563" s="181" t="str">
        <f t="shared" ca="1" si="108"/>
        <v>TERMINO</v>
      </c>
      <c r="AL563" s="310" t="s">
        <v>576</v>
      </c>
      <c r="AM563" s="435" t="s">
        <v>390</v>
      </c>
      <c r="AN563" s="872" t="str">
        <f>IFERROR(VLOOKUP(E563,'liquidaciones '!$B$2:$C$1048576,2,0),"NO")</f>
        <v>NO</v>
      </c>
      <c r="AO563" s="972" t="str">
        <f>IFERROR(VLOOKUP(E563,'liquidaciones '!$B$2:$I$1048576,8,0),"")</f>
        <v/>
      </c>
      <c r="AP563" s="435"/>
      <c r="AQ563" s="435" t="s">
        <v>390</v>
      </c>
      <c r="AR563" s="435" t="s">
        <v>3535</v>
      </c>
      <c r="AS563" s="435" t="s">
        <v>3804</v>
      </c>
      <c r="AT563" s="995" t="s">
        <v>560</v>
      </c>
    </row>
    <row r="564" spans="3:46" ht="101.25" x14ac:dyDescent="0.25">
      <c r="C564" s="893">
        <v>166</v>
      </c>
      <c r="D564" s="893"/>
      <c r="E564" s="894" t="s">
        <v>3626</v>
      </c>
      <c r="F564" s="443" t="s">
        <v>3627</v>
      </c>
      <c r="G564" s="919">
        <v>800109177</v>
      </c>
      <c r="H564" s="1033" t="s">
        <v>3051</v>
      </c>
      <c r="I564" s="93">
        <v>975000</v>
      </c>
      <c r="J564" s="899"/>
      <c r="K564" s="295">
        <v>2017</v>
      </c>
      <c r="L564" s="548">
        <v>43003</v>
      </c>
      <c r="M564" s="900">
        <v>43034</v>
      </c>
      <c r="N564" s="900">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1">
        <f t="shared" si="102"/>
        <v>43399</v>
      </c>
      <c r="U564" s="62">
        <f t="shared" si="103"/>
        <v>975000</v>
      </c>
      <c r="V564" s="172">
        <f>VLOOKUP(E564,Modificaciones!$B$7:$AU$900,46,0)</f>
        <v>975000</v>
      </c>
      <c r="W564" s="93">
        <f t="shared" si="101"/>
        <v>0</v>
      </c>
      <c r="X564" s="315" t="s">
        <v>1232</v>
      </c>
      <c r="Y564" s="878">
        <f t="shared" si="104"/>
        <v>1</v>
      </c>
      <c r="Z564" s="42">
        <f t="shared" ca="1" si="105"/>
        <v>0.95616438356164379</v>
      </c>
      <c r="AA564" s="43">
        <f t="shared" ca="1" si="106"/>
        <v>-4.3835616438356206E-2</v>
      </c>
      <c r="AB564" s="202">
        <f t="shared" ca="1" si="107"/>
        <v>16</v>
      </c>
      <c r="AC564" s="44" t="str">
        <f t="shared" si="110"/>
        <v>SI</v>
      </c>
      <c r="AD564" s="894"/>
      <c r="AE564" s="173" t="s">
        <v>1258</v>
      </c>
      <c r="AF564" s="301" t="s">
        <v>1143</v>
      </c>
      <c r="AG564" s="173" t="s">
        <v>1431</v>
      </c>
      <c r="AH564" s="281" t="s">
        <v>564</v>
      </c>
      <c r="AI564" s="174"/>
      <c r="AJ564" s="305" t="s">
        <v>2845</v>
      </c>
      <c r="AK564" s="181" t="str">
        <f t="shared" ca="1" si="108"/>
        <v>EN EJECUCIÓN</v>
      </c>
      <c r="AL564" s="181" t="s">
        <v>576</v>
      </c>
      <c r="AM564" s="435" t="s">
        <v>390</v>
      </c>
      <c r="AN564" s="872" t="str">
        <f>IFERROR(VLOOKUP(E564,'liquidaciones '!$B$2:$C$1048576,2,0),"NO")</f>
        <v>NO</v>
      </c>
      <c r="AO564" s="972" t="str">
        <f>IFERROR(VLOOKUP(E564,'liquidaciones '!$B$2:$I$1048576,8,0),"")</f>
        <v/>
      </c>
      <c r="AP564" s="435"/>
      <c r="AQ564" s="435" t="s">
        <v>390</v>
      </c>
      <c r="AR564" s="177" t="s">
        <v>4278</v>
      </c>
      <c r="AS564" s="435"/>
      <c r="AT564" s="995" t="s">
        <v>3968</v>
      </c>
    </row>
    <row r="565" spans="3:46" ht="168.75" x14ac:dyDescent="0.25">
      <c r="C565" s="893">
        <v>179</v>
      </c>
      <c r="D565" s="893"/>
      <c r="E565" s="894" t="s">
        <v>3628</v>
      </c>
      <c r="F565" s="443" t="s">
        <v>3633</v>
      </c>
      <c r="G565" s="919">
        <v>900749719</v>
      </c>
      <c r="H565" s="1037" t="s">
        <v>3629</v>
      </c>
      <c r="I565" s="93">
        <v>241357373</v>
      </c>
      <c r="J565" s="899" t="s">
        <v>3630</v>
      </c>
      <c r="K565" s="295">
        <v>2017</v>
      </c>
      <c r="L565" s="548">
        <v>42993</v>
      </c>
      <c r="M565" s="900">
        <v>43053</v>
      </c>
      <c r="N565" s="900">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1">
        <f t="shared" si="102"/>
        <v>43248</v>
      </c>
      <c r="U565" s="62">
        <f>I565+P565</f>
        <v>326397497</v>
      </c>
      <c r="V565" s="172">
        <f>VLOOKUP(E565,Modificaciones!$B$7:$AU$900,46,0)</f>
        <v>253990286</v>
      </c>
      <c r="W565" s="93">
        <f t="shared" si="101"/>
        <v>72407211</v>
      </c>
      <c r="X565" s="315" t="s">
        <v>3631</v>
      </c>
      <c r="Y565" s="878">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3632</v>
      </c>
      <c r="AG565" s="173"/>
      <c r="AH565" s="281"/>
      <c r="AI565" s="305" t="s">
        <v>3622</v>
      </c>
      <c r="AJ565" s="305" t="s">
        <v>2845</v>
      </c>
      <c r="AK565" s="181" t="str">
        <f t="shared" ca="1" si="108"/>
        <v>TERMINO</v>
      </c>
      <c r="AL565" s="310" t="s">
        <v>574</v>
      </c>
      <c r="AM565" s="435" t="s">
        <v>390</v>
      </c>
      <c r="AN565" s="872" t="str">
        <f>IFERROR(VLOOKUP(E565,'liquidaciones '!$B$2:$C$1048576,2,0),"NO")</f>
        <v>NO</v>
      </c>
      <c r="AO565" s="972" t="str">
        <f>IFERROR(VLOOKUP(E565,'liquidaciones '!$B$2:$I$1048576,8,0),"")</f>
        <v/>
      </c>
      <c r="AP565" s="435"/>
      <c r="AQ565" s="435" t="s">
        <v>390</v>
      </c>
      <c r="AR565" s="177" t="s">
        <v>3589</v>
      </c>
      <c r="AS565" s="435"/>
      <c r="AT565" s="995" t="s">
        <v>3968</v>
      </c>
    </row>
    <row r="566" spans="3:46" ht="78.75" x14ac:dyDescent="0.25">
      <c r="C566" s="893"/>
      <c r="D566" s="893"/>
      <c r="E566" s="894" t="s">
        <v>3636</v>
      </c>
      <c r="F566" s="443" t="s">
        <v>3637</v>
      </c>
      <c r="G566" s="919">
        <v>52390138</v>
      </c>
      <c r="H566" s="1037" t="s">
        <v>3638</v>
      </c>
      <c r="I566" s="93">
        <v>12000000</v>
      </c>
      <c r="J566" s="899" t="s">
        <v>3636</v>
      </c>
      <c r="K566" s="295">
        <v>2017</v>
      </c>
      <c r="L566" s="548">
        <v>43010</v>
      </c>
      <c r="M566" s="900">
        <v>43014</v>
      </c>
      <c r="N566" s="900">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1">
        <f t="shared" si="102"/>
        <v>43106</v>
      </c>
      <c r="U566" s="62">
        <f t="shared" si="103"/>
        <v>12000000</v>
      </c>
      <c r="V566" s="172">
        <f>VLOOKUP(E566,Modificaciones!$B$7:$AU$900,46,0)</f>
        <v>12000000</v>
      </c>
      <c r="W566" s="93">
        <f t="shared" si="101"/>
        <v>0</v>
      </c>
      <c r="X566" s="309" t="s">
        <v>2617</v>
      </c>
      <c r="Y566" s="878">
        <f t="shared" si="104"/>
        <v>1</v>
      </c>
      <c r="Z566" s="42">
        <f t="shared" ca="1" si="105"/>
        <v>1</v>
      </c>
      <c r="AA566" s="43">
        <f t="shared" ca="1" si="106"/>
        <v>0</v>
      </c>
      <c r="AB566" s="202" t="str">
        <f t="shared" ca="1" si="107"/>
        <v/>
      </c>
      <c r="AC566" s="44" t="str">
        <f t="shared" si="110"/>
        <v>SI</v>
      </c>
      <c r="AD566" s="762" t="s">
        <v>1714</v>
      </c>
      <c r="AE566" s="173" t="s">
        <v>1257</v>
      </c>
      <c r="AF566" s="173" t="s">
        <v>2500</v>
      </c>
      <c r="AG566" s="173" t="s">
        <v>1431</v>
      </c>
      <c r="AH566" s="281" t="s">
        <v>564</v>
      </c>
      <c r="AI566" s="894"/>
      <c r="AJ566" s="305" t="s">
        <v>3824</v>
      </c>
      <c r="AK566" s="181" t="str">
        <f t="shared" ca="1" si="108"/>
        <v>TERMINO</v>
      </c>
      <c r="AL566" s="310" t="s">
        <v>582</v>
      </c>
      <c r="AM566" s="435" t="s">
        <v>391</v>
      </c>
      <c r="AN566" s="872" t="str">
        <f>IFERROR(VLOOKUP(E566,'liquidaciones '!$B$2:$C$1048576,2,0),"NO")</f>
        <v>LIQUIDADO</v>
      </c>
      <c r="AO566" s="972">
        <f>IFERROR(VLOOKUP(E566,'liquidaciones '!$B$2:$I$1048576,8,0),"")</f>
        <v>0</v>
      </c>
      <c r="AP566" s="435"/>
      <c r="AQ566" s="435" t="s">
        <v>390</v>
      </c>
      <c r="AR566" s="177" t="s">
        <v>2991</v>
      </c>
      <c r="AS566" s="435"/>
      <c r="AT566" s="995" t="s">
        <v>3949</v>
      </c>
    </row>
    <row r="567" spans="3:46" ht="247.5" x14ac:dyDescent="0.25">
      <c r="C567" s="893"/>
      <c r="D567" s="893"/>
      <c r="E567" s="894" t="s">
        <v>3640</v>
      </c>
      <c r="F567" s="443" t="s">
        <v>3641</v>
      </c>
      <c r="G567" s="919" t="s">
        <v>3642</v>
      </c>
      <c r="H567" s="1037" t="s">
        <v>3643</v>
      </c>
      <c r="I567" s="93">
        <v>103000000</v>
      </c>
      <c r="J567" s="899" t="s">
        <v>3640</v>
      </c>
      <c r="K567" s="295">
        <v>2017</v>
      </c>
      <c r="L567" s="548">
        <v>43007</v>
      </c>
      <c r="M567" s="900">
        <v>43018</v>
      </c>
      <c r="N567" s="900">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1">
        <f t="shared" si="102"/>
        <v>43383</v>
      </c>
      <c r="U567" s="62">
        <f t="shared" si="103"/>
        <v>103000000</v>
      </c>
      <c r="V567" s="172">
        <f>VLOOKUP(E567,Modificaciones!$B$7:$AU$900,46,0)</f>
        <v>91023796</v>
      </c>
      <c r="W567" s="93">
        <f t="shared" si="101"/>
        <v>11976204</v>
      </c>
      <c r="X567" s="315" t="s">
        <v>3644</v>
      </c>
      <c r="Y567" s="878">
        <f t="shared" si="104"/>
        <v>0.88372617475728155</v>
      </c>
      <c r="Z567" s="42">
        <f t="shared" ca="1" si="105"/>
        <v>1</v>
      </c>
      <c r="AA567" s="43">
        <f t="shared" ca="1" si="106"/>
        <v>0.11627382524271845</v>
      </c>
      <c r="AB567" s="202" t="str">
        <f t="shared" ca="1" si="107"/>
        <v/>
      </c>
      <c r="AC567" s="44" t="str">
        <f t="shared" si="110"/>
        <v>NO</v>
      </c>
      <c r="AD567" s="762" t="s">
        <v>1713</v>
      </c>
      <c r="AE567" s="897" t="s">
        <v>1258</v>
      </c>
      <c r="AF567" s="897" t="s">
        <v>2983</v>
      </c>
      <c r="AG567" s="173" t="s">
        <v>1440</v>
      </c>
      <c r="AH567" s="281" t="s">
        <v>560</v>
      </c>
      <c r="AI567" s="894"/>
      <c r="AJ567" s="305" t="s">
        <v>3821</v>
      </c>
      <c r="AK567" s="181" t="str">
        <f t="shared" ca="1" si="108"/>
        <v>EN EJECUCIÓN</v>
      </c>
      <c r="AL567" s="443"/>
      <c r="AM567" s="435" t="s">
        <v>390</v>
      </c>
      <c r="AN567" s="872" t="str">
        <f>IFERROR(VLOOKUP(E567,'liquidaciones '!$B$2:$C$1048576,2,0),"NO")</f>
        <v>NO</v>
      </c>
      <c r="AO567" s="972" t="str">
        <f>IFERROR(VLOOKUP(E567,'liquidaciones '!$B$2:$I$1048576,8,0),"")</f>
        <v/>
      </c>
      <c r="AP567" s="435"/>
      <c r="AQ567" s="435" t="s">
        <v>390</v>
      </c>
      <c r="AR567" s="177" t="s">
        <v>4257</v>
      </c>
      <c r="AS567" s="435" t="s">
        <v>3804</v>
      </c>
      <c r="AT567" s="995" t="s">
        <v>560</v>
      </c>
    </row>
    <row r="568" spans="3:46" ht="33.75" x14ac:dyDescent="0.25">
      <c r="C568" s="893">
        <v>172</v>
      </c>
      <c r="D568" s="893"/>
      <c r="E568" s="894" t="s">
        <v>3645</v>
      </c>
      <c r="F568" s="443" t="s">
        <v>2150</v>
      </c>
      <c r="G568" s="919">
        <v>860536029</v>
      </c>
      <c r="H568" s="1033" t="s">
        <v>2670</v>
      </c>
      <c r="I568" s="93">
        <v>960000</v>
      </c>
      <c r="J568" s="899" t="s">
        <v>3645</v>
      </c>
      <c r="K568" s="295">
        <v>2017</v>
      </c>
      <c r="L568" s="548">
        <v>42986</v>
      </c>
      <c r="M568" s="900">
        <v>43013</v>
      </c>
      <c r="N568" s="900">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1">
        <f t="shared" si="102"/>
        <v>43378</v>
      </c>
      <c r="U568" s="62">
        <f t="shared" si="103"/>
        <v>960000</v>
      </c>
      <c r="V568" s="172">
        <f>VLOOKUP(E568,Modificaciones!$B$7:$AU$900,46,0)</f>
        <v>960000</v>
      </c>
      <c r="W568" s="93">
        <f t="shared" si="101"/>
        <v>0</v>
      </c>
      <c r="X568" s="309" t="s">
        <v>2096</v>
      </c>
      <c r="Y568" s="878">
        <f t="shared" si="104"/>
        <v>1</v>
      </c>
      <c r="Z568" s="42">
        <f t="shared" ca="1" si="105"/>
        <v>1</v>
      </c>
      <c r="AA568" s="43">
        <f t="shared" ca="1" si="106"/>
        <v>0</v>
      </c>
      <c r="AB568" s="202" t="str">
        <f t="shared" ca="1" si="107"/>
        <v/>
      </c>
      <c r="AC568" s="44" t="str">
        <f t="shared" si="110"/>
        <v>SI</v>
      </c>
      <c r="AD568" s="762" t="str">
        <f>VLOOKUP(C568,[2]Hoja4!$A$2:$E$116,5,0)</f>
        <v>PRESTACION DE SERVICIOS</v>
      </c>
      <c r="AE568" s="173" t="s">
        <v>1257</v>
      </c>
      <c r="AF568" s="281" t="s">
        <v>1126</v>
      </c>
      <c r="AG568" s="173" t="s">
        <v>1431</v>
      </c>
      <c r="AH568" s="281" t="s">
        <v>564</v>
      </c>
      <c r="AI568" s="305"/>
      <c r="AJ568" s="305" t="s">
        <v>3824</v>
      </c>
      <c r="AK568" s="181" t="str">
        <f t="shared" ca="1" si="108"/>
        <v>TERMINO</v>
      </c>
      <c r="AL568" s="310" t="s">
        <v>582</v>
      </c>
      <c r="AM568" s="435" t="s">
        <v>390</v>
      </c>
      <c r="AN568" s="872" t="str">
        <f>IFERROR(VLOOKUP(E568,'liquidaciones '!$B$2:$C$1048576,2,0),"NO")</f>
        <v>NO</v>
      </c>
      <c r="AO568" s="972" t="str">
        <f>IFERROR(VLOOKUP(E568,'liquidaciones '!$B$2:$I$1048576,8,0),"")</f>
        <v/>
      </c>
      <c r="AP568" s="435"/>
      <c r="AQ568" s="435" t="s">
        <v>390</v>
      </c>
      <c r="AR568" s="177" t="s">
        <v>1511</v>
      </c>
      <c r="AS568" s="435"/>
      <c r="AT568" s="995" t="s">
        <v>3949</v>
      </c>
    </row>
    <row r="569" spans="3:46" ht="30" x14ac:dyDescent="0.25">
      <c r="C569" s="893">
        <v>208</v>
      </c>
      <c r="D569" s="893"/>
      <c r="E569" s="894" t="s">
        <v>3666</v>
      </c>
      <c r="F569" s="443" t="s">
        <v>3667</v>
      </c>
      <c r="G569" s="919">
        <v>900619795</v>
      </c>
      <c r="H569" s="1037" t="s">
        <v>3668</v>
      </c>
      <c r="I569" s="93">
        <v>23058000</v>
      </c>
      <c r="J569" s="899" t="s">
        <v>3673</v>
      </c>
      <c r="K569" s="295">
        <v>2017</v>
      </c>
      <c r="L569" s="548">
        <v>43013</v>
      </c>
      <c r="M569" s="900">
        <v>43033</v>
      </c>
      <c r="N569" s="900">
        <v>43156</v>
      </c>
      <c r="O569" s="127">
        <f>COUNTA(Modificaciones!I555,Modificaciones!K555,Modificaciones!M555,Modificaciones!O555)</f>
        <v>1</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1">
        <f t="shared" si="102"/>
        <v>43156</v>
      </c>
      <c r="U569" s="62">
        <f t="shared" si="103"/>
        <v>23058000</v>
      </c>
      <c r="V569" s="172">
        <f>VLOOKUP(E569,Modificaciones!$B$7:$AU$900,46,0)</f>
        <v>21231623</v>
      </c>
      <c r="W569" s="93">
        <f t="shared" si="101"/>
        <v>1826377</v>
      </c>
      <c r="X569" s="309" t="s">
        <v>2200</v>
      </c>
      <c r="Y569" s="878">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3821</v>
      </c>
      <c r="AK569" s="181" t="str">
        <f t="shared" ca="1" si="108"/>
        <v>TERMINO</v>
      </c>
      <c r="AL569" s="310" t="s">
        <v>576</v>
      </c>
      <c r="AM569" s="435" t="s">
        <v>390</v>
      </c>
      <c r="AN569" s="872" t="str">
        <f>IFERROR(VLOOKUP(E569,'liquidaciones '!$B$2:$C$1048576,2,0),"NO")</f>
        <v>EN TRÁMITE</v>
      </c>
      <c r="AO569" s="972">
        <f>IFERROR(VLOOKUP(E569,'liquidaciones '!$B$2:$I$1048576,8,0),"")</f>
        <v>0</v>
      </c>
      <c r="AP569" s="435"/>
      <c r="AQ569" s="435" t="s">
        <v>390</v>
      </c>
      <c r="AR569" s="177" t="s">
        <v>1511</v>
      </c>
      <c r="AS569" s="435" t="s">
        <v>3809</v>
      </c>
      <c r="AT569" s="995" t="s">
        <v>560</v>
      </c>
    </row>
    <row r="570" spans="3:46" ht="45" x14ac:dyDescent="0.25">
      <c r="C570" s="893"/>
      <c r="D570" s="893"/>
      <c r="E570" s="894" t="s">
        <v>3670</v>
      </c>
      <c r="F570" s="443" t="s">
        <v>3669</v>
      </c>
      <c r="G570" s="919" t="s">
        <v>3671</v>
      </c>
      <c r="H570" s="1037" t="s">
        <v>3672</v>
      </c>
      <c r="I570" s="93">
        <v>5087000</v>
      </c>
      <c r="J570" s="899" t="s">
        <v>3674</v>
      </c>
      <c r="K570" s="295">
        <v>2017</v>
      </c>
      <c r="L570" s="548">
        <v>43013</v>
      </c>
      <c r="M570" s="900">
        <v>43028</v>
      </c>
      <c r="N570" s="900">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1">
        <f t="shared" si="102"/>
        <v>43393</v>
      </c>
      <c r="U570" s="62">
        <f t="shared" si="103"/>
        <v>5087000</v>
      </c>
      <c r="V570" s="172">
        <f>VLOOKUP(E570,Modificaciones!$B$7:$AU$900,46,0)</f>
        <v>2970000</v>
      </c>
      <c r="W570" s="93">
        <f t="shared" ref="W570:W600" si="111">U570-V570</f>
        <v>2117000</v>
      </c>
      <c r="X570" s="309" t="s">
        <v>1635</v>
      </c>
      <c r="Y570" s="878">
        <f t="shared" si="104"/>
        <v>0.58384116375073714</v>
      </c>
      <c r="Z570" s="42">
        <f t="shared" ca="1" si="105"/>
        <v>0.9726027397260274</v>
      </c>
      <c r="AA570" s="43">
        <f t="shared" ca="1" si="106"/>
        <v>0.38876157597529026</v>
      </c>
      <c r="AB570" s="202">
        <f t="shared" ca="1" si="107"/>
        <v>10</v>
      </c>
      <c r="AC570" s="44" t="str">
        <f t="shared" si="110"/>
        <v>NO</v>
      </c>
      <c r="AD570" s="762" t="s">
        <v>1713</v>
      </c>
      <c r="AE570" s="173" t="s">
        <v>1257</v>
      </c>
      <c r="AF570" s="281" t="s">
        <v>1512</v>
      </c>
      <c r="AG570" s="173" t="s">
        <v>1443</v>
      </c>
      <c r="AH570" s="281" t="s">
        <v>560</v>
      </c>
      <c r="AI570" s="305" t="s">
        <v>3622</v>
      </c>
      <c r="AJ570" s="305" t="s">
        <v>3821</v>
      </c>
      <c r="AK570" s="181" t="str">
        <f t="shared" ca="1" si="108"/>
        <v>EN EJECUCIÓN</v>
      </c>
      <c r="AL570" s="310" t="s">
        <v>576</v>
      </c>
      <c r="AM570" s="176" t="s">
        <v>390</v>
      </c>
      <c r="AN570" s="872" t="str">
        <f>IFERROR(VLOOKUP(E570,'liquidaciones '!$B$2:$C$1048576,2,0),"NO")</f>
        <v>NO</v>
      </c>
      <c r="AO570" s="972" t="str">
        <f>IFERROR(VLOOKUP(E570,'liquidaciones '!$B$2:$I$1048576,8,0),"")</f>
        <v/>
      </c>
      <c r="AP570" s="435"/>
      <c r="AQ570" s="177" t="s">
        <v>390</v>
      </c>
      <c r="AR570" s="177" t="s">
        <v>3069</v>
      </c>
      <c r="AS570" s="435" t="s">
        <v>3800</v>
      </c>
      <c r="AT570" s="995" t="s">
        <v>560</v>
      </c>
    </row>
    <row r="571" spans="3:46" ht="123.75" x14ac:dyDescent="0.25">
      <c r="C571" s="893"/>
      <c r="D571" s="893"/>
      <c r="E571" s="894" t="s">
        <v>3688</v>
      </c>
      <c r="F571" s="443" t="s">
        <v>3679</v>
      </c>
      <c r="G571" s="919">
        <v>79789613</v>
      </c>
      <c r="H571" s="1037" t="s">
        <v>3680</v>
      </c>
      <c r="I571" s="93">
        <v>9000000</v>
      </c>
      <c r="J571" s="899" t="s">
        <v>3681</v>
      </c>
      <c r="K571" s="295">
        <v>2017</v>
      </c>
      <c r="L571" s="548">
        <v>43025</v>
      </c>
      <c r="M571" s="900">
        <v>43034</v>
      </c>
      <c r="N571" s="900">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1">
        <f t="shared" si="102"/>
        <v>43278</v>
      </c>
      <c r="U571" s="62">
        <f t="shared" si="103"/>
        <v>13133333</v>
      </c>
      <c r="V571" s="172">
        <f>VLOOKUP(E571,Modificaciones!$B$7:$AU$900,46,0)</f>
        <v>12133333</v>
      </c>
      <c r="W571" s="93">
        <f t="shared" si="111"/>
        <v>1000000</v>
      </c>
      <c r="X571" s="315" t="s">
        <v>3682</v>
      </c>
      <c r="Y571" s="878">
        <f t="shared" si="104"/>
        <v>0.9238578660877631</v>
      </c>
      <c r="Z571" s="42">
        <f t="shared" ca="1" si="105"/>
        <v>1</v>
      </c>
      <c r="AA571" s="43">
        <f t="shared" ca="1" si="106"/>
        <v>7.6142133912236898E-2</v>
      </c>
      <c r="AB571" s="202" t="str">
        <f t="shared" ca="1" si="107"/>
        <v/>
      </c>
      <c r="AC571" s="44" t="str">
        <f t="shared" si="110"/>
        <v>NO</v>
      </c>
      <c r="AD571" s="762" t="s">
        <v>1720</v>
      </c>
      <c r="AE571" s="173" t="s">
        <v>1257</v>
      </c>
      <c r="AF571" s="281" t="s">
        <v>2560</v>
      </c>
      <c r="AG571" s="173"/>
      <c r="AH571" s="281"/>
      <c r="AI571" s="305" t="s">
        <v>3622</v>
      </c>
      <c r="AJ571" s="305" t="s">
        <v>2845</v>
      </c>
      <c r="AK571" s="181" t="str">
        <f t="shared" ca="1" si="108"/>
        <v>TERMINO</v>
      </c>
      <c r="AL571" s="310" t="s">
        <v>574</v>
      </c>
      <c r="AM571" s="435" t="s">
        <v>390</v>
      </c>
      <c r="AN571" s="872" t="str">
        <f>IFERROR(VLOOKUP(E571,'liquidaciones '!$B$2:$C$1048576,2,0),"NO")</f>
        <v>NO</v>
      </c>
      <c r="AO571" s="972" t="str">
        <f>IFERROR(VLOOKUP(E571,'liquidaciones '!$B$2:$I$1048576,8,0),"")</f>
        <v/>
      </c>
      <c r="AP571" s="435"/>
      <c r="AQ571" s="435" t="s">
        <v>390</v>
      </c>
      <c r="AR571" s="177" t="s">
        <v>3589</v>
      </c>
      <c r="AS571" s="435"/>
      <c r="AT571" s="995" t="s">
        <v>3968</v>
      </c>
    </row>
    <row r="572" spans="3:46" ht="45" x14ac:dyDescent="0.25">
      <c r="C572" s="893">
        <v>209</v>
      </c>
      <c r="D572" s="893"/>
      <c r="E572" s="894" t="s">
        <v>3676</v>
      </c>
      <c r="F572" s="443" t="s">
        <v>2590</v>
      </c>
      <c r="G572" s="919">
        <v>80807003</v>
      </c>
      <c r="H572" s="1037" t="s">
        <v>3677</v>
      </c>
      <c r="I572" s="93">
        <v>4606000</v>
      </c>
      <c r="J572" s="899" t="s">
        <v>3678</v>
      </c>
      <c r="K572" s="295">
        <v>2017</v>
      </c>
      <c r="L572" s="548">
        <v>43026</v>
      </c>
      <c r="M572" s="900">
        <v>43041</v>
      </c>
      <c r="N572" s="900">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1">
        <f t="shared" si="102"/>
        <v>43133</v>
      </c>
      <c r="U572" s="62">
        <f t="shared" si="103"/>
        <v>4606000</v>
      </c>
      <c r="V572" s="172">
        <f>VLOOKUP(E572,Modificaciones!$B$7:$AU$900,46,0)</f>
        <v>2576666</v>
      </c>
      <c r="W572" s="93">
        <f t="shared" si="111"/>
        <v>2029334</v>
      </c>
      <c r="X572" s="309" t="s">
        <v>2592</v>
      </c>
      <c r="Y572" s="878">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3622</v>
      </c>
      <c r="AJ572" s="305" t="s">
        <v>3821</v>
      </c>
      <c r="AK572" s="181" t="str">
        <f t="shared" ca="1" si="108"/>
        <v>TERMINO</v>
      </c>
      <c r="AL572" s="310" t="s">
        <v>576</v>
      </c>
      <c r="AM572" s="435" t="s">
        <v>390</v>
      </c>
      <c r="AN572" s="872" t="str">
        <f>IFERROR(VLOOKUP(E572,'liquidaciones '!$B$2:$C$1048576,2,0),"NO")</f>
        <v>LIQUIDADO</v>
      </c>
      <c r="AO572" s="972">
        <f>IFERROR(VLOOKUP(E572,'liquidaciones '!$B$2:$I$1048576,8,0),"")</f>
        <v>0</v>
      </c>
      <c r="AP572" s="435"/>
      <c r="AQ572" s="435" t="s">
        <v>390</v>
      </c>
      <c r="AR572" s="177" t="s">
        <v>1511</v>
      </c>
      <c r="AS572" s="435" t="s">
        <v>3809</v>
      </c>
      <c r="AT572" s="995" t="s">
        <v>560</v>
      </c>
    </row>
    <row r="573" spans="3:46" ht="33.75" x14ac:dyDescent="0.25">
      <c r="C573" s="893"/>
      <c r="D573" s="893"/>
      <c r="E573" s="894" t="s">
        <v>3683</v>
      </c>
      <c r="F573" s="443" t="s">
        <v>2721</v>
      </c>
      <c r="G573" s="930" t="s">
        <v>2722</v>
      </c>
      <c r="H573" s="1033" t="s">
        <v>3684</v>
      </c>
      <c r="I573" s="93">
        <v>6717550</v>
      </c>
      <c r="J573" s="899" t="s">
        <v>3685</v>
      </c>
      <c r="K573" s="295">
        <v>2017</v>
      </c>
      <c r="L573" s="548">
        <v>43013</v>
      </c>
      <c r="M573" s="900">
        <v>43033</v>
      </c>
      <c r="N573" s="900">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1">
        <f t="shared" si="102"/>
        <v>43107</v>
      </c>
      <c r="U573" s="62">
        <f t="shared" si="103"/>
        <v>6717550</v>
      </c>
      <c r="V573" s="172">
        <f>VLOOKUP(E573,Modificaciones!$B$7:$AU$900,46,0)</f>
        <v>0</v>
      </c>
      <c r="W573" s="93">
        <f t="shared" si="111"/>
        <v>6717550</v>
      </c>
      <c r="X573" s="309" t="s">
        <v>2725</v>
      </c>
      <c r="Y573" s="878">
        <f t="shared" si="104"/>
        <v>0</v>
      </c>
      <c r="Z573" s="42">
        <f t="shared" ca="1" si="105"/>
        <v>1</v>
      </c>
      <c r="AA573" s="43">
        <f t="shared" ca="1" si="106"/>
        <v>1</v>
      </c>
      <c r="AB573" s="202" t="str">
        <f t="shared" ca="1" si="107"/>
        <v/>
      </c>
      <c r="AC573" s="44" t="str">
        <f t="shared" si="110"/>
        <v>NO</v>
      </c>
      <c r="AD573" s="762" t="s">
        <v>1715</v>
      </c>
      <c r="AE573" s="173" t="s">
        <v>1257</v>
      </c>
      <c r="AF573" s="281" t="s">
        <v>2726</v>
      </c>
      <c r="AG573" s="173" t="s">
        <v>1436</v>
      </c>
      <c r="AH573" s="281" t="s">
        <v>560</v>
      </c>
      <c r="AI573" s="305" t="s">
        <v>1390</v>
      </c>
      <c r="AJ573" s="305" t="s">
        <v>3821</v>
      </c>
      <c r="AK573" s="181" t="str">
        <f t="shared" ca="1" si="108"/>
        <v>TERMINO</v>
      </c>
      <c r="AL573" s="310" t="s">
        <v>576</v>
      </c>
      <c r="AM573" s="435" t="s">
        <v>391</v>
      </c>
      <c r="AN573" s="872" t="str">
        <f>IFERROR(VLOOKUP(E573,'liquidaciones '!$B$2:$C$1048576,2,0),"NO")</f>
        <v>LIQUIDADO</v>
      </c>
      <c r="AO573" s="972">
        <f>IFERROR(VLOOKUP(E573,'liquidaciones '!$B$2:$I$1048576,8,0),"")</f>
        <v>0</v>
      </c>
      <c r="AP573" s="435"/>
      <c r="AQ573" s="435" t="s">
        <v>390</v>
      </c>
      <c r="AR573" s="177" t="s">
        <v>3069</v>
      </c>
      <c r="AS573" s="435" t="s">
        <v>3809</v>
      </c>
      <c r="AT573" s="995" t="s">
        <v>560</v>
      </c>
    </row>
    <row r="574" spans="3:46" ht="22.5" x14ac:dyDescent="0.25">
      <c r="C574" s="893"/>
      <c r="D574" s="893"/>
      <c r="E574" s="894" t="s">
        <v>3675</v>
      </c>
      <c r="F574" s="443" t="s">
        <v>33</v>
      </c>
      <c r="G574" s="930">
        <v>860509265</v>
      </c>
      <c r="H574" s="1033" t="s">
        <v>3689</v>
      </c>
      <c r="I574" s="93">
        <v>870000</v>
      </c>
      <c r="J574" s="899" t="s">
        <v>3675</v>
      </c>
      <c r="K574" s="295">
        <v>2017</v>
      </c>
      <c r="L574" s="548">
        <v>43032</v>
      </c>
      <c r="M574" s="900">
        <v>43040</v>
      </c>
      <c r="N574" s="900">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1">
        <f t="shared" si="102"/>
        <v>43405</v>
      </c>
      <c r="U574" s="62">
        <f t="shared" si="103"/>
        <v>870000</v>
      </c>
      <c r="V574" s="172">
        <f>VLOOKUP(E574,Modificaciones!$B$7:$AU$900,46,0)</f>
        <v>870000</v>
      </c>
      <c r="W574" s="93">
        <f t="shared" si="111"/>
        <v>0</v>
      </c>
      <c r="X574" s="309" t="s">
        <v>2096</v>
      </c>
      <c r="Y574" s="878">
        <f t="shared" si="104"/>
        <v>1</v>
      </c>
      <c r="Z574" s="42">
        <f t="shared" ca="1" si="105"/>
        <v>0.9397260273972603</v>
      </c>
      <c r="AA574" s="43">
        <f t="shared" ca="1" si="106"/>
        <v>-6.02739726027397E-2</v>
      </c>
      <c r="AB574" s="202">
        <f t="shared" ca="1" si="107"/>
        <v>22</v>
      </c>
      <c r="AC574" s="44" t="str">
        <f t="shared" si="110"/>
        <v>SI</v>
      </c>
      <c r="AD574" s="762" t="s">
        <v>1717</v>
      </c>
      <c r="AE574" s="173" t="s">
        <v>1257</v>
      </c>
      <c r="AF574" s="301" t="s">
        <v>1470</v>
      </c>
      <c r="AG574" s="173" t="s">
        <v>1431</v>
      </c>
      <c r="AH574" s="281" t="s">
        <v>564</v>
      </c>
      <c r="AI574" s="305"/>
      <c r="AJ574" s="305" t="s">
        <v>3824</v>
      </c>
      <c r="AK574" s="181" t="str">
        <f t="shared" ca="1" si="108"/>
        <v>EN EJECUCIÓN</v>
      </c>
      <c r="AL574" s="181" t="s">
        <v>582</v>
      </c>
      <c r="AM574" s="435" t="s">
        <v>390</v>
      </c>
      <c r="AN574" s="872" t="str">
        <f>IFERROR(VLOOKUP(E574,'liquidaciones '!$B$2:$C$1048576,2,0),"NO")</f>
        <v>NO</v>
      </c>
      <c r="AO574" s="972" t="str">
        <f>IFERROR(VLOOKUP(E574,'liquidaciones '!$B$2:$I$1048576,8,0),"")</f>
        <v/>
      </c>
      <c r="AP574" s="435"/>
      <c r="AQ574" s="435" t="s">
        <v>390</v>
      </c>
      <c r="AR574" s="177" t="s">
        <v>3069</v>
      </c>
      <c r="AS574" s="435"/>
      <c r="AT574" s="995" t="s">
        <v>3949</v>
      </c>
    </row>
    <row r="575" spans="3:46" ht="191.25" x14ac:dyDescent="0.25">
      <c r="C575" s="893"/>
      <c r="D575" s="893"/>
      <c r="E575" s="894" t="s">
        <v>3692</v>
      </c>
      <c r="F575" s="443" t="s">
        <v>3693</v>
      </c>
      <c r="G575" s="919">
        <v>830067856</v>
      </c>
      <c r="H575" s="1037" t="s">
        <v>3694</v>
      </c>
      <c r="I575" s="93">
        <v>40817000</v>
      </c>
      <c r="J575" s="899" t="s">
        <v>3696</v>
      </c>
      <c r="K575" s="295">
        <v>2017</v>
      </c>
      <c r="L575" s="548">
        <v>43011</v>
      </c>
      <c r="M575" s="900">
        <v>43040</v>
      </c>
      <c r="N575" s="900">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1">
        <f t="shared" si="102"/>
        <v>43160</v>
      </c>
      <c r="U575" s="62">
        <f t="shared" si="103"/>
        <v>40817000</v>
      </c>
      <c r="V575" s="172">
        <f>VLOOKUP(E575,Modificaciones!$B$7:$AU$900,46,0)</f>
        <v>8613400</v>
      </c>
      <c r="W575" s="93">
        <f t="shared" si="111"/>
        <v>32203600</v>
      </c>
      <c r="X575" s="315" t="s">
        <v>3695</v>
      </c>
      <c r="Y575" s="878">
        <f t="shared" si="104"/>
        <v>0.2110248180905015</v>
      </c>
      <c r="Z575" s="42">
        <f t="shared" ca="1" si="105"/>
        <v>1</v>
      </c>
      <c r="AA575" s="43">
        <f t="shared" ca="1" si="106"/>
        <v>0.78897518190949856</v>
      </c>
      <c r="AB575" s="202" t="str">
        <f t="shared" ca="1" si="107"/>
        <v/>
      </c>
      <c r="AC575" s="44" t="str">
        <f t="shared" si="110"/>
        <v>NO</v>
      </c>
      <c r="AD575" s="894" t="s">
        <v>3698</v>
      </c>
      <c r="AE575" s="897" t="s">
        <v>1257</v>
      </c>
      <c r="AF575" s="897" t="s">
        <v>3697</v>
      </c>
      <c r="AG575" s="173" t="s">
        <v>1443</v>
      </c>
      <c r="AH575" s="281" t="s">
        <v>560</v>
      </c>
      <c r="AI575" s="174" t="s">
        <v>3622</v>
      </c>
      <c r="AJ575" s="305" t="s">
        <v>2845</v>
      </c>
      <c r="AK575" s="181" t="str">
        <f t="shared" ca="1" si="108"/>
        <v>TERMINO</v>
      </c>
      <c r="AL575" s="310" t="s">
        <v>576</v>
      </c>
      <c r="AM575" s="435" t="s">
        <v>390</v>
      </c>
      <c r="AN575" s="872" t="str">
        <f>IFERROR(VLOOKUP(E575,'liquidaciones '!$B$2:$C$1048576,2,0),"NO")</f>
        <v>NO</v>
      </c>
      <c r="AO575" s="972" t="str">
        <f>IFERROR(VLOOKUP(E575,'liquidaciones '!$B$2:$I$1048576,8,0),"")</f>
        <v/>
      </c>
      <c r="AP575" s="435"/>
      <c r="AQ575" s="435" t="s">
        <v>390</v>
      </c>
      <c r="AR575" s="177" t="s">
        <v>3589</v>
      </c>
      <c r="AS575" s="435"/>
      <c r="AT575" s="995" t="s">
        <v>3968</v>
      </c>
    </row>
    <row r="576" spans="3:46" ht="56.25" x14ac:dyDescent="0.25">
      <c r="C576" s="893">
        <v>192</v>
      </c>
      <c r="D576" s="893"/>
      <c r="E576" s="894" t="s">
        <v>3701</v>
      </c>
      <c r="F576" s="443" t="s">
        <v>38</v>
      </c>
      <c r="G576" s="919">
        <v>830053669</v>
      </c>
      <c r="H576" s="1037" t="s">
        <v>3702</v>
      </c>
      <c r="I576" s="93">
        <v>38989000</v>
      </c>
      <c r="J576" s="899" t="s">
        <v>3703</v>
      </c>
      <c r="K576" s="295">
        <v>2017</v>
      </c>
      <c r="L576" s="548">
        <v>43040</v>
      </c>
      <c r="M576" s="900">
        <v>43048</v>
      </c>
      <c r="N576" s="900">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1">
        <f t="shared" ref="T576:T600" si="112">MAX(N576,S576)</f>
        <v>43343</v>
      </c>
      <c r="U576" s="62">
        <f t="shared" si="103"/>
        <v>38989000</v>
      </c>
      <c r="V576" s="172">
        <f>VLOOKUP(E576,Modificaciones!$B$7:$AU$900,46,0)</f>
        <v>17831193</v>
      </c>
      <c r="W576" s="93">
        <f t="shared" si="111"/>
        <v>21157807</v>
      </c>
      <c r="X576" s="309" t="s">
        <v>1966</v>
      </c>
      <c r="Y576" s="878">
        <f t="shared" si="104"/>
        <v>0.4573390699941009</v>
      </c>
      <c r="Z576" s="42">
        <f t="shared" ca="1" si="105"/>
        <v>1</v>
      </c>
      <c r="AA576" s="43">
        <f t="shared" ca="1" si="106"/>
        <v>0.5426609300058991</v>
      </c>
      <c r="AB576" s="202" t="str">
        <f t="shared" ca="1" si="107"/>
        <v/>
      </c>
      <c r="AC576" s="44" t="str">
        <f t="shared" si="110"/>
        <v>NO</v>
      </c>
      <c r="AD576" s="762" t="s">
        <v>1713</v>
      </c>
      <c r="AE576" s="173" t="s">
        <v>1257</v>
      </c>
      <c r="AF576" s="281" t="s">
        <v>1141</v>
      </c>
      <c r="AG576" s="173" t="s">
        <v>1443</v>
      </c>
      <c r="AH576" s="281" t="s">
        <v>560</v>
      </c>
      <c r="AI576" s="174" t="s">
        <v>1380</v>
      </c>
      <c r="AJ576" s="305" t="s">
        <v>2845</v>
      </c>
      <c r="AK576" s="181" t="str">
        <f t="shared" ca="1" si="108"/>
        <v>TERMINO</v>
      </c>
      <c r="AL576" s="310" t="s">
        <v>575</v>
      </c>
      <c r="AM576" s="435" t="s">
        <v>390</v>
      </c>
      <c r="AN576" s="872" t="str">
        <f>IFERROR(VLOOKUP(E576,'liquidaciones '!$B$2:$C$1048576,2,0),"NO")</f>
        <v>NO</v>
      </c>
      <c r="AO576" s="972" t="str">
        <f>IFERROR(VLOOKUP(E576,'liquidaciones '!$B$2:$I$1048576,8,0),"")</f>
        <v/>
      </c>
      <c r="AP576" s="435"/>
      <c r="AQ576" s="435" t="s">
        <v>390</v>
      </c>
      <c r="AR576" s="177" t="s">
        <v>3069</v>
      </c>
      <c r="AS576" s="435"/>
      <c r="AT576" s="995" t="s">
        <v>3968</v>
      </c>
    </row>
    <row r="577" spans="3:46" ht="90" x14ac:dyDescent="0.25">
      <c r="C577" s="893"/>
      <c r="D577" s="893"/>
      <c r="E577" s="894" t="s">
        <v>3704</v>
      </c>
      <c r="F577" s="443" t="s">
        <v>3705</v>
      </c>
      <c r="G577" s="919">
        <v>91156558</v>
      </c>
      <c r="H577" s="1037" t="s">
        <v>3706</v>
      </c>
      <c r="I577" s="93">
        <v>7000000</v>
      </c>
      <c r="J577" s="899" t="s">
        <v>3704</v>
      </c>
      <c r="K577" s="295">
        <v>2017</v>
      </c>
      <c r="L577" s="548">
        <v>43040</v>
      </c>
      <c r="M577" s="900">
        <v>43048</v>
      </c>
      <c r="N577" s="900">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1">
        <f t="shared" si="112"/>
        <v>43108</v>
      </c>
      <c r="U577" s="62">
        <f t="shared" si="103"/>
        <v>7000000</v>
      </c>
      <c r="V577" s="172">
        <f>VLOOKUP(E577,Modificaciones!$B$7:$AU$900,46,0)</f>
        <v>7000000</v>
      </c>
      <c r="W577" s="93">
        <f t="shared" si="111"/>
        <v>0</v>
      </c>
      <c r="X577" s="313" t="s">
        <v>3707</v>
      </c>
      <c r="Y577" s="878">
        <f t="shared" si="104"/>
        <v>1</v>
      </c>
      <c r="Z577" s="42">
        <f t="shared" ca="1" si="105"/>
        <v>1</v>
      </c>
      <c r="AA577" s="43">
        <f t="shared" ca="1" si="106"/>
        <v>0</v>
      </c>
      <c r="AB577" s="202" t="str">
        <f t="shared" ca="1" si="107"/>
        <v/>
      </c>
      <c r="AC577" s="44" t="str">
        <f t="shared" si="110"/>
        <v>SI</v>
      </c>
      <c r="AD577" s="762" t="s">
        <v>1713</v>
      </c>
      <c r="AE577" s="173" t="s">
        <v>1257</v>
      </c>
      <c r="AF577" s="281" t="s">
        <v>1308</v>
      </c>
      <c r="AG577" s="894"/>
      <c r="AH577" s="894"/>
      <c r="AI577" s="894"/>
      <c r="AJ577" s="305" t="s">
        <v>2845</v>
      </c>
      <c r="AK577" s="181" t="str">
        <f t="shared" ca="1" si="108"/>
        <v>TERMINO</v>
      </c>
      <c r="AL577" s="310" t="s">
        <v>582</v>
      </c>
      <c r="AM577" s="176" t="s">
        <v>390</v>
      </c>
      <c r="AN577" s="872" t="str">
        <f>IFERROR(VLOOKUP(E577,'liquidaciones '!$B$2:$C$1048576,2,0),"NO")</f>
        <v>LIQUIDADO</v>
      </c>
      <c r="AO577" s="972">
        <f>IFERROR(VLOOKUP(E577,'liquidaciones '!$B$2:$I$1048576,8,0),"")</f>
        <v>0</v>
      </c>
      <c r="AP577" s="435"/>
      <c r="AQ577" s="435" t="s">
        <v>390</v>
      </c>
      <c r="AR577" s="177" t="s">
        <v>1511</v>
      </c>
      <c r="AS577" s="435"/>
      <c r="AT577" s="995" t="s">
        <v>3968</v>
      </c>
    </row>
    <row r="578" spans="3:46" ht="22.5" x14ac:dyDescent="0.25">
      <c r="C578" s="893">
        <v>76</v>
      </c>
      <c r="D578" s="893"/>
      <c r="E578" s="894" t="s">
        <v>3708</v>
      </c>
      <c r="F578" s="443" t="s">
        <v>2027</v>
      </c>
      <c r="G578" s="919">
        <v>800198591</v>
      </c>
      <c r="H578" s="1037" t="s">
        <v>2553</v>
      </c>
      <c r="I578" s="93">
        <v>228000000</v>
      </c>
      <c r="J578" s="899" t="s">
        <v>3708</v>
      </c>
      <c r="K578" s="295">
        <v>2017</v>
      </c>
      <c r="L578" s="548">
        <v>43042</v>
      </c>
      <c r="M578" s="900">
        <v>43075</v>
      </c>
      <c r="N578" s="900">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1">
        <f t="shared" si="112"/>
        <v>43439</v>
      </c>
      <c r="U578" s="62">
        <f t="shared" si="103"/>
        <v>228000000</v>
      </c>
      <c r="V578" s="172">
        <f>VLOOKUP(E578,Modificaciones!$B$7:$AU$900,46,0)</f>
        <v>152000000</v>
      </c>
      <c r="W578" s="93">
        <f t="shared" si="111"/>
        <v>76000000</v>
      </c>
      <c r="X578" s="309" t="s">
        <v>2210</v>
      </c>
      <c r="Y578" s="878">
        <f t="shared" si="104"/>
        <v>0.66666666666666663</v>
      </c>
      <c r="Z578" s="42">
        <f t="shared" ca="1" si="105"/>
        <v>0.84615384615384615</v>
      </c>
      <c r="AA578" s="43">
        <f t="shared" ca="1" si="106"/>
        <v>0.17948717948717952</v>
      </c>
      <c r="AB578" s="202">
        <f t="shared" ca="1" si="107"/>
        <v>56</v>
      </c>
      <c r="AC578" s="44" t="str">
        <f t="shared" si="110"/>
        <v>NO</v>
      </c>
      <c r="AD578" s="762" t="s">
        <v>1713</v>
      </c>
      <c r="AE578" s="173" t="s">
        <v>1258</v>
      </c>
      <c r="AF578" s="173" t="s">
        <v>1175</v>
      </c>
      <c r="AG578" s="173" t="s">
        <v>1440</v>
      </c>
      <c r="AH578" s="281" t="s">
        <v>560</v>
      </c>
      <c r="AI578" s="305" t="s">
        <v>1510</v>
      </c>
      <c r="AJ578" s="305" t="s">
        <v>3821</v>
      </c>
      <c r="AK578" s="181" t="str">
        <f t="shared" ca="1" si="108"/>
        <v>EN EJECUCIÓN</v>
      </c>
      <c r="AL578" s="310" t="s">
        <v>582</v>
      </c>
      <c r="AM578" s="435" t="s">
        <v>390</v>
      </c>
      <c r="AN578" s="872" t="str">
        <f>IFERROR(VLOOKUP(E578,'liquidaciones '!$B$2:$C$1048576,2,0),"NO")</f>
        <v>NO</v>
      </c>
      <c r="AO578" s="972" t="str">
        <f>IFERROR(VLOOKUP(E578,'liquidaciones '!$B$2:$I$1048576,8,0),"")</f>
        <v/>
      </c>
      <c r="AP578" s="435"/>
      <c r="AQ578" s="435" t="s">
        <v>390</v>
      </c>
      <c r="AR578" s="177" t="s">
        <v>4257</v>
      </c>
      <c r="AS578" s="435" t="s">
        <v>3804</v>
      </c>
      <c r="AT578" s="995" t="s">
        <v>560</v>
      </c>
    </row>
    <row r="579" spans="3:46" ht="56.25" x14ac:dyDescent="0.25">
      <c r="C579" s="893">
        <v>188</v>
      </c>
      <c r="D579" s="893"/>
      <c r="E579" s="894" t="s">
        <v>3709</v>
      </c>
      <c r="F579" s="443" t="s">
        <v>2655</v>
      </c>
      <c r="G579" s="919">
        <v>830113914</v>
      </c>
      <c r="H579" s="1037" t="s">
        <v>3710</v>
      </c>
      <c r="I579" s="93">
        <v>79741000</v>
      </c>
      <c r="J579" s="899" t="s">
        <v>3717</v>
      </c>
      <c r="K579" s="295">
        <v>2017</v>
      </c>
      <c r="L579" s="548" t="s">
        <v>3711</v>
      </c>
      <c r="M579" s="900">
        <v>43059</v>
      </c>
      <c r="N579" s="900">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1">
        <f t="shared" si="112"/>
        <v>43286</v>
      </c>
      <c r="U579" s="62">
        <f t="shared" si="103"/>
        <v>79741000</v>
      </c>
      <c r="V579" s="172">
        <f>VLOOKUP(E579,Modificaciones!$B$7:$AU$900,46,0)</f>
        <v>79740999</v>
      </c>
      <c r="W579" s="93">
        <f t="shared" si="111"/>
        <v>1</v>
      </c>
      <c r="X579" s="309" t="s">
        <v>2009</v>
      </c>
      <c r="Y579" s="990">
        <f>(V579*100%)/U579</f>
        <v>0.99999998745939978</v>
      </c>
      <c r="Z579" s="42">
        <f t="shared" ca="1" si="105"/>
        <v>1</v>
      </c>
      <c r="AA579" s="43">
        <f t="shared" ca="1" si="106"/>
        <v>1.2540600224930643E-8</v>
      </c>
      <c r="AB579" s="202" t="str">
        <f t="shared" ca="1" si="107"/>
        <v/>
      </c>
      <c r="AC579" s="44" t="str">
        <f t="shared" si="110"/>
        <v>SI</v>
      </c>
      <c r="AD579" s="762" t="s">
        <v>1716</v>
      </c>
      <c r="AE579" s="173" t="s">
        <v>1257</v>
      </c>
      <c r="AF579" s="173" t="s">
        <v>1131</v>
      </c>
      <c r="AG579" s="173" t="s">
        <v>1443</v>
      </c>
      <c r="AH579" s="281" t="s">
        <v>560</v>
      </c>
      <c r="AI579" s="179" t="s">
        <v>1380</v>
      </c>
      <c r="AJ579" s="305" t="s">
        <v>3821</v>
      </c>
      <c r="AK579" s="181" t="str">
        <f t="shared" ca="1" si="108"/>
        <v>TERMINO</v>
      </c>
      <c r="AL579" s="310" t="s">
        <v>575</v>
      </c>
      <c r="AM579" s="435" t="s">
        <v>390</v>
      </c>
      <c r="AN579" s="872" t="str">
        <f>IFERROR(VLOOKUP(E579,'liquidaciones '!$B$2:$C$1048576,2,0),"NO")</f>
        <v>NO</v>
      </c>
      <c r="AO579" s="972" t="str">
        <f>IFERROR(VLOOKUP(E579,'liquidaciones '!$B$2:$I$1048576,8,0),"")</f>
        <v/>
      </c>
      <c r="AP579" s="435"/>
      <c r="AQ579" s="435" t="s">
        <v>390</v>
      </c>
      <c r="AR579" s="177" t="s">
        <v>1511</v>
      </c>
      <c r="AS579" s="435" t="s">
        <v>1380</v>
      </c>
      <c r="AT579" s="995" t="s">
        <v>560</v>
      </c>
    </row>
    <row r="580" spans="3:46" ht="180" x14ac:dyDescent="0.25">
      <c r="C580" s="893"/>
      <c r="D580" s="893"/>
      <c r="E580" s="894" t="s">
        <v>3712</v>
      </c>
      <c r="F580" s="443" t="s">
        <v>2439</v>
      </c>
      <c r="G580" s="930">
        <v>900475780</v>
      </c>
      <c r="H580" s="1033" t="s">
        <v>3713</v>
      </c>
      <c r="I580" s="93">
        <v>2840000000</v>
      </c>
      <c r="J580" s="899" t="s">
        <v>3712</v>
      </c>
      <c r="K580" s="295">
        <v>2017</v>
      </c>
      <c r="L580" s="548">
        <v>43048</v>
      </c>
      <c r="M580" s="900">
        <v>43101</v>
      </c>
      <c r="N580" s="900">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1">
        <f t="shared" si="112"/>
        <v>43312</v>
      </c>
      <c r="U580" s="62">
        <f t="shared" si="103"/>
        <v>2840000000</v>
      </c>
      <c r="V580" s="172">
        <f>VLOOKUP(E580,Modificaciones!$B$7:$AU$900,46,0)</f>
        <v>2792222710</v>
      </c>
      <c r="W580" s="93">
        <f t="shared" si="111"/>
        <v>47777290</v>
      </c>
      <c r="X580" s="315" t="s">
        <v>3714</v>
      </c>
      <c r="Y580" s="878">
        <f t="shared" si="104"/>
        <v>0.98317701056338025</v>
      </c>
      <c r="Z580" s="42">
        <f t="shared" ca="1" si="105"/>
        <v>1</v>
      </c>
      <c r="AA580" s="43">
        <f t="shared" ca="1" si="106"/>
        <v>1.6822989436619751E-2</v>
      </c>
      <c r="AB580" s="202" t="str">
        <f t="shared" ca="1" si="107"/>
        <v/>
      </c>
      <c r="AC580" s="44" t="str">
        <f t="shared" si="110"/>
        <v>NO</v>
      </c>
      <c r="AD580" s="762" t="s">
        <v>1722</v>
      </c>
      <c r="AE580" s="173" t="s">
        <v>1257</v>
      </c>
      <c r="AF580" s="281" t="s">
        <v>1509</v>
      </c>
      <c r="AG580" s="173" t="s">
        <v>1443</v>
      </c>
      <c r="AH580" s="281" t="s">
        <v>560</v>
      </c>
      <c r="AI580" s="305" t="s">
        <v>1320</v>
      </c>
      <c r="AJ580" s="305" t="s">
        <v>2845</v>
      </c>
      <c r="AK580" s="181" t="str">
        <f t="shared" ca="1" si="108"/>
        <v>TERMINO</v>
      </c>
      <c r="AL580" s="181" t="s">
        <v>582</v>
      </c>
      <c r="AM580" s="435" t="s">
        <v>390</v>
      </c>
      <c r="AN580" s="872" t="str">
        <f>IFERROR(VLOOKUP(E580,'liquidaciones '!$B$2:$C$1048576,2,0),"NO")</f>
        <v>NO</v>
      </c>
      <c r="AO580" s="972" t="str">
        <f>IFERROR(VLOOKUP(E580,'liquidaciones '!$B$2:$I$1048576,8,0),"")</f>
        <v/>
      </c>
      <c r="AP580" s="435"/>
      <c r="AQ580" s="435" t="s">
        <v>390</v>
      </c>
      <c r="AR580" s="177" t="s">
        <v>2990</v>
      </c>
      <c r="AS580" s="435"/>
      <c r="AT580" s="995" t="s">
        <v>3968</v>
      </c>
    </row>
    <row r="581" spans="3:46" ht="45" x14ac:dyDescent="0.25">
      <c r="C581" s="893"/>
      <c r="D581" s="893"/>
      <c r="E581" s="894" t="s">
        <v>3715</v>
      </c>
      <c r="F581" s="443" t="s">
        <v>70</v>
      </c>
      <c r="G581" s="919">
        <v>860506170</v>
      </c>
      <c r="H581" s="1037" t="s">
        <v>3716</v>
      </c>
      <c r="I581" s="93">
        <v>191000000</v>
      </c>
      <c r="J581" s="899" t="s">
        <v>3715</v>
      </c>
      <c r="K581" s="295">
        <v>2017</v>
      </c>
      <c r="L581" s="548">
        <v>43047</v>
      </c>
      <c r="M581" s="900">
        <v>43061</v>
      </c>
      <c r="N581" s="900">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1">
        <f t="shared" si="112"/>
        <v>43425</v>
      </c>
      <c r="U581" s="62">
        <f t="shared" si="103"/>
        <v>191000000</v>
      </c>
      <c r="V581" s="172">
        <f>VLOOKUP(E581,Modificaciones!$B$7:$AU$900,46,0)</f>
        <v>0</v>
      </c>
      <c r="W581" s="93">
        <f t="shared" si="111"/>
        <v>191000000</v>
      </c>
      <c r="X581" s="309"/>
      <c r="Y581" s="878">
        <f t="shared" si="104"/>
        <v>0</v>
      </c>
      <c r="Z581" s="42">
        <f t="shared" ca="1" si="105"/>
        <v>0.88461538461538458</v>
      </c>
      <c r="AA581" s="43">
        <f t="shared" ca="1" si="106"/>
        <v>0.88461538461538458</v>
      </c>
      <c r="AB581" s="202">
        <f t="shared" ca="1" si="107"/>
        <v>42</v>
      </c>
      <c r="AC581" s="44" t="str">
        <f t="shared" si="110"/>
        <v>NO</v>
      </c>
      <c r="AD581" s="762" t="s">
        <v>1722</v>
      </c>
      <c r="AE581" s="173" t="s">
        <v>1257</v>
      </c>
      <c r="AF581" s="897"/>
      <c r="AG581" s="173" t="s">
        <v>1443</v>
      </c>
      <c r="AH581" s="281" t="s">
        <v>560</v>
      </c>
      <c r="AI581" s="174" t="s">
        <v>3622</v>
      </c>
      <c r="AJ581" s="305" t="s">
        <v>2845</v>
      </c>
      <c r="AK581" s="181" t="str">
        <f t="shared" ca="1" si="108"/>
        <v>EN EJECUCIÓN</v>
      </c>
      <c r="AL581" s="181" t="s">
        <v>582</v>
      </c>
      <c r="AM581" s="435" t="s">
        <v>390</v>
      </c>
      <c r="AN581" s="872" t="str">
        <f>IFERROR(VLOOKUP(E581,'liquidaciones '!$B$2:$C$1048576,2,0),"NO")</f>
        <v>NO</v>
      </c>
      <c r="AO581" s="972" t="str">
        <f>IFERROR(VLOOKUP(E581,'liquidaciones '!$B$2:$I$1048576,8,0),"")</f>
        <v/>
      </c>
      <c r="AP581" s="435"/>
      <c r="AQ581" s="435" t="s">
        <v>390</v>
      </c>
      <c r="AR581" s="177" t="s">
        <v>4299</v>
      </c>
      <c r="AS581" s="435"/>
      <c r="AT581" s="995" t="s">
        <v>3968</v>
      </c>
    </row>
    <row r="582" spans="3:46" ht="33.75" x14ac:dyDescent="0.25">
      <c r="C582" s="893">
        <v>84</v>
      </c>
      <c r="D582" s="893"/>
      <c r="E582" s="894" t="s">
        <v>3719</v>
      </c>
      <c r="F582" s="443" t="s">
        <v>1339</v>
      </c>
      <c r="G582" s="919">
        <v>899999115</v>
      </c>
      <c r="H582" s="1037" t="s">
        <v>3720</v>
      </c>
      <c r="I582" s="93">
        <v>68129166</v>
      </c>
      <c r="J582" s="899" t="s">
        <v>3719</v>
      </c>
      <c r="K582" s="295">
        <v>2017</v>
      </c>
      <c r="L582" s="548">
        <v>43046</v>
      </c>
      <c r="M582" s="900">
        <v>43053</v>
      </c>
      <c r="N582" s="900">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1">
        <f t="shared" si="112"/>
        <v>43294</v>
      </c>
      <c r="U582" s="62">
        <f t="shared" si="103"/>
        <v>90838888</v>
      </c>
      <c r="V582" s="172">
        <f>VLOOKUP(E582,Modificaciones!$B$7:$AU$900,46,0)</f>
        <v>90838884</v>
      </c>
      <c r="W582" s="93">
        <f t="shared" si="111"/>
        <v>4</v>
      </c>
      <c r="X582" s="309" t="s">
        <v>3721</v>
      </c>
      <c r="Y582" s="878">
        <f t="shared" si="104"/>
        <v>0.99999995596599556</v>
      </c>
      <c r="Z582" s="42">
        <f t="shared" ca="1" si="105"/>
        <v>1</v>
      </c>
      <c r="AA582" s="43">
        <f t="shared" ca="1" si="106"/>
        <v>4.4034004442750074E-8</v>
      </c>
      <c r="AB582" s="202" t="str">
        <f t="shared" ca="1" si="107"/>
        <v/>
      </c>
      <c r="AC582" s="44" t="str">
        <f t="shared" si="110"/>
        <v>SI</v>
      </c>
      <c r="AD582" s="762" t="s">
        <v>1713</v>
      </c>
      <c r="AE582" s="173" t="s">
        <v>1258</v>
      </c>
      <c r="AF582" s="281" t="s">
        <v>1609</v>
      </c>
      <c r="AG582" s="173" t="s">
        <v>1440</v>
      </c>
      <c r="AH582" s="281" t="s">
        <v>560</v>
      </c>
      <c r="AI582" s="305" t="s">
        <v>1510</v>
      </c>
      <c r="AJ582" s="305" t="s">
        <v>3821</v>
      </c>
      <c r="AK582" s="181" t="str">
        <f t="shared" ca="1" si="108"/>
        <v>TERMINO</v>
      </c>
      <c r="AL582" s="310" t="s">
        <v>582</v>
      </c>
      <c r="AM582" s="435" t="s">
        <v>390</v>
      </c>
      <c r="AN582" s="872" t="str">
        <f>IFERROR(VLOOKUP(E582,'liquidaciones '!$B$2:$C$1048576,2,0),"NO")</f>
        <v>NO</v>
      </c>
      <c r="AO582" s="972" t="str">
        <f>IFERROR(VLOOKUP(E582,'liquidaciones '!$B$2:$I$1048576,8,0),"")</f>
        <v/>
      </c>
      <c r="AP582" s="435"/>
      <c r="AQ582" s="435" t="s">
        <v>390</v>
      </c>
      <c r="AR582" s="177" t="s">
        <v>3535</v>
      </c>
      <c r="AS582" s="435" t="s">
        <v>3804</v>
      </c>
      <c r="AT582" s="995" t="s">
        <v>560</v>
      </c>
    </row>
    <row r="583" spans="3:46" ht="30" x14ac:dyDescent="0.25">
      <c r="C583" s="893"/>
      <c r="D583" s="893"/>
      <c r="E583" s="894" t="s">
        <v>3722</v>
      </c>
      <c r="F583" s="443" t="s">
        <v>3723</v>
      </c>
      <c r="G583" s="919" t="s">
        <v>3724</v>
      </c>
      <c r="H583" s="1037" t="s">
        <v>3725</v>
      </c>
      <c r="I583" s="93">
        <v>1380207</v>
      </c>
      <c r="J583" s="899" t="s">
        <v>3726</v>
      </c>
      <c r="K583" s="295">
        <v>2017</v>
      </c>
      <c r="L583" s="548">
        <v>43042</v>
      </c>
      <c r="M583" s="900">
        <v>43060</v>
      </c>
      <c r="N583" s="900">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1">
        <f t="shared" si="112"/>
        <v>43089</v>
      </c>
      <c r="U583" s="62">
        <f t="shared" ref="U583:U600" si="113">I583+P583</f>
        <v>1380207</v>
      </c>
      <c r="V583" s="172">
        <f>VLOOKUP(E583,Modificaciones!$B$7:$AU$900,46,0)</f>
        <v>1380207</v>
      </c>
      <c r="W583" s="93">
        <f t="shared" si="111"/>
        <v>0</v>
      </c>
      <c r="X583" s="309" t="s">
        <v>2803</v>
      </c>
      <c r="Y583" s="878">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4"/>
      <c r="AE583" s="897"/>
      <c r="AF583" s="897"/>
      <c r="AG583" s="894"/>
      <c r="AH583" s="894"/>
      <c r="AI583" s="894"/>
      <c r="AJ583" s="305" t="s">
        <v>2845</v>
      </c>
      <c r="AK583" s="181" t="str">
        <f t="shared" ref="AK583:AK600" ca="1" si="118">IF(T583&gt;=$F$3,"EN EJECUCIÓN","TERMINO")</f>
        <v>TERMINO</v>
      </c>
      <c r="AL583" s="310" t="s">
        <v>576</v>
      </c>
      <c r="AM583" s="435"/>
      <c r="AN583" s="872" t="str">
        <f>IFERROR(VLOOKUP(E583,'liquidaciones '!$B$2:$C$1048576,2,0),"NO")</f>
        <v>LIQUIDADO</v>
      </c>
      <c r="AO583" s="972">
        <f>IFERROR(VLOOKUP(E583,'liquidaciones '!$B$2:$I$1048576,8,0),"")</f>
        <v>0</v>
      </c>
      <c r="AP583" s="435"/>
      <c r="AQ583" s="435" t="s">
        <v>390</v>
      </c>
      <c r="AR583" s="177" t="s">
        <v>3069</v>
      </c>
      <c r="AS583" s="435"/>
      <c r="AT583" s="995" t="s">
        <v>3968</v>
      </c>
    </row>
    <row r="584" spans="3:46" ht="56.25" x14ac:dyDescent="0.25">
      <c r="C584" s="893">
        <v>190</v>
      </c>
      <c r="D584" s="893"/>
      <c r="E584" s="894" t="s">
        <v>3729</v>
      </c>
      <c r="F584" s="443" t="s">
        <v>2564</v>
      </c>
      <c r="G584" s="930" t="s">
        <v>2565</v>
      </c>
      <c r="H584" s="1037" t="s">
        <v>3730</v>
      </c>
      <c r="I584" s="93">
        <v>6512000</v>
      </c>
      <c r="J584" s="899" t="s">
        <v>3731</v>
      </c>
      <c r="K584" s="295">
        <v>2017</v>
      </c>
      <c r="L584" s="548">
        <v>43053</v>
      </c>
      <c r="M584" s="900">
        <v>43070</v>
      </c>
      <c r="N584" s="900">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1">
        <f t="shared" si="112"/>
        <v>43281</v>
      </c>
      <c r="U584" s="62">
        <f t="shared" si="113"/>
        <v>6512000</v>
      </c>
      <c r="V584" s="172">
        <f>VLOOKUP(E584,Modificaciones!$B$7:$AU$900,46,0)</f>
        <v>3000000</v>
      </c>
      <c r="W584" s="93">
        <f t="shared" si="111"/>
        <v>3512000</v>
      </c>
      <c r="X584" s="315" t="s">
        <v>1188</v>
      </c>
      <c r="Y584" s="878">
        <f t="shared" si="114"/>
        <v>0.4606879606879607</v>
      </c>
      <c r="Z584" s="42">
        <f t="shared" ca="1" si="115"/>
        <v>1</v>
      </c>
      <c r="AA584" s="43">
        <f t="shared" ca="1" si="116"/>
        <v>0.5393120393120393</v>
      </c>
      <c r="AB584" s="202" t="str">
        <f t="shared" ca="1" si="117"/>
        <v/>
      </c>
      <c r="AC584" s="44" t="str">
        <f t="shared" si="110"/>
        <v>NO</v>
      </c>
      <c r="AD584" s="894"/>
      <c r="AE584" s="173" t="s">
        <v>1257</v>
      </c>
      <c r="AF584" s="281" t="s">
        <v>1137</v>
      </c>
      <c r="AG584" s="173" t="s">
        <v>1443</v>
      </c>
      <c r="AH584" s="281" t="s">
        <v>560</v>
      </c>
      <c r="AI584" s="174" t="s">
        <v>1381</v>
      </c>
      <c r="AJ584" s="305" t="s">
        <v>3821</v>
      </c>
      <c r="AK584" s="181" t="str">
        <f t="shared" ca="1" si="118"/>
        <v>TERMINO</v>
      </c>
      <c r="AL584" s="181" t="s">
        <v>576</v>
      </c>
      <c r="AM584" s="435" t="s">
        <v>390</v>
      </c>
      <c r="AN584" s="872" t="str">
        <f>IFERROR(VLOOKUP(E584,'liquidaciones '!$B$2:$C$1048576,2,0),"NO")</f>
        <v>NO</v>
      </c>
      <c r="AO584" s="972" t="str">
        <f>IFERROR(VLOOKUP(E584,'liquidaciones '!$B$2:$I$1048576,8,0),"")</f>
        <v/>
      </c>
      <c r="AP584" s="435"/>
      <c r="AQ584" s="435" t="s">
        <v>390</v>
      </c>
      <c r="AR584" s="177" t="s">
        <v>2977</v>
      </c>
      <c r="AS584" s="435" t="s">
        <v>1380</v>
      </c>
      <c r="AT584" s="995" t="s">
        <v>560</v>
      </c>
    </row>
    <row r="585" spans="3:46" ht="33.75" x14ac:dyDescent="0.25">
      <c r="C585" s="893">
        <v>202</v>
      </c>
      <c r="D585" s="893"/>
      <c r="E585" s="894" t="s">
        <v>3733</v>
      </c>
      <c r="F585" s="443" t="s">
        <v>3734</v>
      </c>
      <c r="G585" s="919" t="s">
        <v>3735</v>
      </c>
      <c r="H585" s="1037" t="s">
        <v>3749</v>
      </c>
      <c r="I585" s="93">
        <v>405331000</v>
      </c>
      <c r="J585" s="899" t="s">
        <v>3736</v>
      </c>
      <c r="K585" s="295">
        <v>2017</v>
      </c>
      <c r="L585" s="548">
        <v>43063</v>
      </c>
      <c r="M585" s="900">
        <v>43070</v>
      </c>
      <c r="N585" s="900">
        <v>43312</v>
      </c>
      <c r="O585" s="127">
        <f>COUNTA(Modificaciones!I571,Modificaciones!K571,Modificaciones!M571,Modificaciones!O571)</f>
        <v>1</v>
      </c>
      <c r="P585" s="128">
        <f>VLOOKUP(E585,Modificaciones!$B$7:$Q$900,16,0)</f>
        <v>0</v>
      </c>
      <c r="Q585" s="129">
        <f>COUNTA(Modificaciones!S585,Modificaciones!U585,Modificaciones!W585,Modificaciones!Y585)</f>
        <v>1</v>
      </c>
      <c r="R585" s="130" t="str">
        <f>IF(Modificaciones!Z585=0,"",VLOOKUP(E585,Modificaciones!$B$7:$AA$1500,25,0))</f>
        <v>3 meses</v>
      </c>
      <c r="S585" s="131">
        <f>IF(Modificaciones!AA585=0,"",VLOOKUP(E585,Modificaciones!$B$7:$AA$1500,26,0))</f>
        <v>43404</v>
      </c>
      <c r="T585" s="881">
        <f t="shared" si="112"/>
        <v>43404</v>
      </c>
      <c r="U585" s="62">
        <f t="shared" si="113"/>
        <v>405331000</v>
      </c>
      <c r="V585" s="172">
        <f>VLOOKUP(E585,Modificaciones!$B$7:$AU$900,46,0)</f>
        <v>154330000</v>
      </c>
      <c r="W585" s="93">
        <f t="shared" si="111"/>
        <v>251001000</v>
      </c>
      <c r="X585" s="309" t="s">
        <v>1881</v>
      </c>
      <c r="Y585" s="878">
        <f t="shared" si="114"/>
        <v>0.38075054708374145</v>
      </c>
      <c r="Z585" s="42">
        <f t="shared" ca="1" si="115"/>
        <v>0.93712574850299402</v>
      </c>
      <c r="AA585" s="43">
        <f t="shared" ca="1" si="116"/>
        <v>0.55637520141925256</v>
      </c>
      <c r="AB585" s="202">
        <f t="shared" ca="1" si="117"/>
        <v>21</v>
      </c>
      <c r="AC585" s="44" t="str">
        <f t="shared" si="110"/>
        <v>NO</v>
      </c>
      <c r="AD585" s="762" t="s">
        <v>1713</v>
      </c>
      <c r="AE585" s="173" t="s">
        <v>1257</v>
      </c>
      <c r="AF585" s="281" t="s">
        <v>1284</v>
      </c>
      <c r="AG585" s="173" t="s">
        <v>1436</v>
      </c>
      <c r="AH585" s="281" t="s">
        <v>560</v>
      </c>
      <c r="AI585" s="305" t="s">
        <v>1387</v>
      </c>
      <c r="AJ585" s="305" t="s">
        <v>3821</v>
      </c>
      <c r="AK585" s="181" t="str">
        <f t="shared" ca="1" si="118"/>
        <v>EN EJECUCIÓN</v>
      </c>
      <c r="AL585" s="310"/>
      <c r="AM585" s="435" t="s">
        <v>390</v>
      </c>
      <c r="AN585" s="872" t="str">
        <f>IFERROR(VLOOKUP(E585,'liquidaciones '!$B$2:$C$1048576,2,0),"NO")</f>
        <v>NO</v>
      </c>
      <c r="AO585" s="972" t="str">
        <f>IFERROR(VLOOKUP(E585,'liquidaciones '!$B$2:$I$1048576,8,0),"")</f>
        <v/>
      </c>
      <c r="AP585" s="435"/>
      <c r="AQ585" s="435" t="s">
        <v>390</v>
      </c>
      <c r="AR585" s="177" t="s">
        <v>3069</v>
      </c>
      <c r="AS585" s="435" t="s">
        <v>3805</v>
      </c>
      <c r="AT585" s="995" t="s">
        <v>560</v>
      </c>
    </row>
    <row r="586" spans="3:46" ht="30" x14ac:dyDescent="0.25">
      <c r="C586" s="893"/>
      <c r="D586" s="893"/>
      <c r="E586" s="894" t="s">
        <v>3740</v>
      </c>
      <c r="F586" s="443" t="s">
        <v>3739</v>
      </c>
      <c r="G586" s="919" t="s">
        <v>3741</v>
      </c>
      <c r="H586" s="1037" t="s">
        <v>3742</v>
      </c>
      <c r="I586" s="93">
        <v>242533577</v>
      </c>
      <c r="J586" s="899" t="s">
        <v>3745</v>
      </c>
      <c r="K586" s="295">
        <v>2017</v>
      </c>
      <c r="L586" s="548">
        <v>43068</v>
      </c>
      <c r="M586" s="900">
        <v>43068</v>
      </c>
      <c r="N586" s="900">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1">
        <f t="shared" si="112"/>
        <v>43082</v>
      </c>
      <c r="U586" s="62">
        <f t="shared" si="113"/>
        <v>242533577</v>
      </c>
      <c r="V586" s="172">
        <f>VLOOKUP(E586,Modificaciones!$B$7:$AU$900,46,0)</f>
        <v>242531342</v>
      </c>
      <c r="W586" s="93">
        <f t="shared" si="111"/>
        <v>2235</v>
      </c>
      <c r="X586" s="309"/>
      <c r="Y586" s="878">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6" t="s">
        <v>3744</v>
      </c>
      <c r="AG586" s="173" t="s">
        <v>1440</v>
      </c>
      <c r="AH586" s="281" t="s">
        <v>560</v>
      </c>
      <c r="AI586" s="305" t="s">
        <v>1510</v>
      </c>
      <c r="AJ586" s="305" t="s">
        <v>3821</v>
      </c>
      <c r="AK586" s="181" t="str">
        <f t="shared" ca="1" si="118"/>
        <v>TERMINO</v>
      </c>
      <c r="AL586" s="310" t="s">
        <v>2733</v>
      </c>
      <c r="AM586" s="435"/>
      <c r="AN586" s="872" t="str">
        <f>IFERROR(VLOOKUP(E586,'liquidaciones '!$B$2:$C$1048576,2,0),"NO")</f>
        <v>LIQUIDADO</v>
      </c>
      <c r="AO586" s="972">
        <f>IFERROR(VLOOKUP(E586,'liquidaciones '!$B$2:$I$1048576,8,0),"")</f>
        <v>0</v>
      </c>
      <c r="AP586" s="435"/>
      <c r="AQ586" s="435" t="s">
        <v>390</v>
      </c>
      <c r="AR586" s="177" t="s">
        <v>3535</v>
      </c>
      <c r="AS586" s="435" t="s">
        <v>3804</v>
      </c>
      <c r="AT586" s="995" t="s">
        <v>560</v>
      </c>
    </row>
    <row r="587" spans="3:46" ht="33.75" x14ac:dyDescent="0.25">
      <c r="C587" s="893"/>
      <c r="D587" s="893"/>
      <c r="E587" s="894" t="s">
        <v>3746</v>
      </c>
      <c r="F587" s="443" t="s">
        <v>3747</v>
      </c>
      <c r="G587" s="919" t="s">
        <v>3578</v>
      </c>
      <c r="H587" s="1037" t="s">
        <v>3748</v>
      </c>
      <c r="I587" s="93">
        <v>102161000</v>
      </c>
      <c r="J587" s="899" t="s">
        <v>3736</v>
      </c>
      <c r="K587" s="295">
        <v>2017</v>
      </c>
      <c r="L587" s="548">
        <v>43063</v>
      </c>
      <c r="M587" s="900">
        <v>43080</v>
      </c>
      <c r="N587" s="900">
        <v>43322</v>
      </c>
      <c r="O587" s="127">
        <f>COUNTA(Modificaciones!I573,Modificaciones!K573,Modificaciones!M573,Modificaciones!O573)</f>
        <v>0</v>
      </c>
      <c r="P587" s="128">
        <f>VLOOKUP(E587,Modificaciones!$B$7:$Q$900,16,0)</f>
        <v>0</v>
      </c>
      <c r="Q587" s="129">
        <f>COUNTA(Modificaciones!S587,Modificaciones!U587,Modificaciones!W587,Modificaciones!Y587)</f>
        <v>1</v>
      </c>
      <c r="R587" s="130" t="str">
        <f>IF(Modificaciones!Z587=0,"",VLOOKUP(E587,Modificaciones!$B$7:$AA$1500,25,0))</f>
        <v>3 meses</v>
      </c>
      <c r="S587" s="131">
        <f>IF(Modificaciones!AA587=0,"",VLOOKUP(E587,Modificaciones!$B$7:$AA$1500,26,0))</f>
        <v>43414</v>
      </c>
      <c r="T587" s="881">
        <f t="shared" si="112"/>
        <v>43414</v>
      </c>
      <c r="U587" s="62">
        <f t="shared" si="113"/>
        <v>102161000</v>
      </c>
      <c r="V587" s="172">
        <f>VLOOKUP(E587,Modificaciones!$B$7:$AU$900,46,0)</f>
        <v>0</v>
      </c>
      <c r="W587" s="93">
        <f t="shared" si="111"/>
        <v>102161000</v>
      </c>
      <c r="X587" s="309" t="s">
        <v>1881</v>
      </c>
      <c r="Y587" s="878">
        <f t="shared" si="114"/>
        <v>0</v>
      </c>
      <c r="Z587" s="42">
        <f t="shared" ca="1" si="115"/>
        <v>0.90718562874251496</v>
      </c>
      <c r="AA587" s="43">
        <f t="shared" ca="1" si="116"/>
        <v>0.90718562874251496</v>
      </c>
      <c r="AB587" s="202">
        <f t="shared" ca="1" si="117"/>
        <v>31</v>
      </c>
      <c r="AC587" s="44" t="str">
        <f t="shared" si="110"/>
        <v>NO</v>
      </c>
      <c r="AD587" s="762" t="s">
        <v>1713</v>
      </c>
      <c r="AE587" s="173" t="s">
        <v>1257</v>
      </c>
      <c r="AF587" s="281" t="s">
        <v>1284</v>
      </c>
      <c r="AG587" s="173" t="s">
        <v>1436</v>
      </c>
      <c r="AH587" s="281" t="s">
        <v>560</v>
      </c>
      <c r="AI587" s="305" t="s">
        <v>1387</v>
      </c>
      <c r="AJ587" s="305" t="s">
        <v>3821</v>
      </c>
      <c r="AK587" s="181" t="str">
        <f t="shared" ca="1" si="118"/>
        <v>EN EJECUCIÓN</v>
      </c>
      <c r="AL587" s="443"/>
      <c r="AM587" s="435" t="s">
        <v>390</v>
      </c>
      <c r="AN587" s="872" t="str">
        <f>IFERROR(VLOOKUP(E587,'liquidaciones '!$B$2:$C$1048576,2,0),"NO")</f>
        <v>NO</v>
      </c>
      <c r="AO587" s="972" t="str">
        <f>IFERROR(VLOOKUP(E587,'liquidaciones '!$B$2:$I$1048576,8,0),"")</f>
        <v/>
      </c>
      <c r="AP587" s="435"/>
      <c r="AQ587" s="435" t="s">
        <v>390</v>
      </c>
      <c r="AR587" s="177" t="s">
        <v>4300</v>
      </c>
      <c r="AS587" s="435" t="s">
        <v>3805</v>
      </c>
      <c r="AT587" s="995" t="s">
        <v>560</v>
      </c>
    </row>
    <row r="588" spans="3:46" ht="45" x14ac:dyDescent="0.25">
      <c r="C588" s="893"/>
      <c r="D588" s="893"/>
      <c r="E588" s="894" t="s">
        <v>3752</v>
      </c>
      <c r="F588" s="443" t="s">
        <v>3753</v>
      </c>
      <c r="G588" s="919">
        <v>901132826</v>
      </c>
      <c r="H588" s="1037" t="s">
        <v>3754</v>
      </c>
      <c r="I588" s="93">
        <v>120149000</v>
      </c>
      <c r="J588" s="899" t="s">
        <v>3755</v>
      </c>
      <c r="K588" s="295">
        <v>2017</v>
      </c>
      <c r="L588" s="548">
        <v>43063</v>
      </c>
      <c r="M588" s="928">
        <v>43083</v>
      </c>
      <c r="N588" s="928">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1">
        <f t="shared" si="112"/>
        <v>43447</v>
      </c>
      <c r="U588" s="62">
        <f t="shared" si="113"/>
        <v>120149000</v>
      </c>
      <c r="V588" s="172">
        <f>VLOOKUP(E588,Modificaciones!$B$7:$AU$900,46,0)</f>
        <v>32563747</v>
      </c>
      <c r="W588" s="93">
        <f t="shared" si="111"/>
        <v>87585253</v>
      </c>
      <c r="X588" s="309" t="s">
        <v>3756</v>
      </c>
      <c r="Y588" s="878">
        <f t="shared" si="114"/>
        <v>0.27102803186043994</v>
      </c>
      <c r="Z588" s="42">
        <f t="shared" ca="1" si="115"/>
        <v>0.82417582417582413</v>
      </c>
      <c r="AA588" s="43">
        <f t="shared" ca="1" si="116"/>
        <v>0.55314779231538425</v>
      </c>
      <c r="AB588" s="202">
        <f t="shared" ca="1" si="117"/>
        <v>64</v>
      </c>
      <c r="AC588" s="44" t="str">
        <f t="shared" si="110"/>
        <v>NO</v>
      </c>
      <c r="AD588" s="762" t="s">
        <v>1713</v>
      </c>
      <c r="AE588" s="173" t="s">
        <v>1258</v>
      </c>
      <c r="AF588" s="281" t="s">
        <v>2083</v>
      </c>
      <c r="AG588" s="173" t="s">
        <v>1440</v>
      </c>
      <c r="AH588" s="281" t="s">
        <v>560</v>
      </c>
      <c r="AI588" s="305" t="s">
        <v>1510</v>
      </c>
      <c r="AJ588" s="305" t="s">
        <v>2845</v>
      </c>
      <c r="AK588" s="181" t="str">
        <f t="shared" ca="1" si="118"/>
        <v>EN EJECUCIÓN</v>
      </c>
      <c r="AL588" s="310" t="s">
        <v>575</v>
      </c>
      <c r="AM588" s="435" t="s">
        <v>390</v>
      </c>
      <c r="AN588" s="872" t="str">
        <f>IFERROR(VLOOKUP(E588,'liquidaciones '!$B$2:$C$1048576,2,0),"NO")</f>
        <v>NO</v>
      </c>
      <c r="AO588" s="972" t="str">
        <f>IFERROR(VLOOKUP(E588,'liquidaciones '!$B$2:$I$1048576,8,0),"")</f>
        <v/>
      </c>
      <c r="AP588" s="435"/>
      <c r="AQ588" s="435"/>
      <c r="AR588" s="177" t="s">
        <v>4257</v>
      </c>
      <c r="AS588" s="435" t="s">
        <v>3804</v>
      </c>
      <c r="AT588" s="995" t="s">
        <v>560</v>
      </c>
    </row>
    <row r="589" spans="3:46" ht="112.5" x14ac:dyDescent="0.25">
      <c r="C589" s="893">
        <v>78</v>
      </c>
      <c r="D589" s="893"/>
      <c r="E589" s="894" t="s">
        <v>3760</v>
      </c>
      <c r="F589" s="443" t="s">
        <v>3761</v>
      </c>
      <c r="G589" s="919">
        <v>900280686</v>
      </c>
      <c r="H589" s="1037" t="s">
        <v>3762</v>
      </c>
      <c r="I589" s="93">
        <v>11637012</v>
      </c>
      <c r="J589" s="899" t="s">
        <v>3768</v>
      </c>
      <c r="K589" s="295">
        <v>2017</v>
      </c>
      <c r="L589" s="548">
        <v>43075</v>
      </c>
      <c r="M589" s="900">
        <v>43096</v>
      </c>
      <c r="N589" s="900">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1">
        <f t="shared" si="112"/>
        <v>43369</v>
      </c>
      <c r="U589" s="62">
        <f t="shared" si="113"/>
        <v>11637012</v>
      </c>
      <c r="V589" s="172">
        <f>VLOOKUP(E589,Modificaciones!$B$7:$AU$900,46,0)</f>
        <v>3488701</v>
      </c>
      <c r="W589" s="93">
        <f t="shared" si="111"/>
        <v>8148311</v>
      </c>
      <c r="X589" s="315" t="s">
        <v>3763</v>
      </c>
      <c r="Y589" s="878">
        <f t="shared" si="114"/>
        <v>0.29979353806630088</v>
      </c>
      <c r="Z589" s="42">
        <f t="shared" ca="1" si="115"/>
        <v>1</v>
      </c>
      <c r="AA589" s="43">
        <f t="shared" ca="1" si="116"/>
        <v>0.70020646193369918</v>
      </c>
      <c r="AB589" s="202" t="str">
        <f t="shared" ca="1" si="117"/>
        <v/>
      </c>
      <c r="AC589" s="44" t="str">
        <f t="shared" si="110"/>
        <v>NO</v>
      </c>
      <c r="AD589" s="762" t="s">
        <v>1713</v>
      </c>
      <c r="AE589" s="173" t="s">
        <v>1258</v>
      </c>
      <c r="AF589" s="281" t="s">
        <v>2797</v>
      </c>
      <c r="AG589" s="173" t="s">
        <v>1440</v>
      </c>
      <c r="AH589" s="281" t="s">
        <v>560</v>
      </c>
      <c r="AI589" s="305" t="s">
        <v>1510</v>
      </c>
      <c r="AJ589" s="305" t="s">
        <v>3821</v>
      </c>
      <c r="AK589" s="181" t="str">
        <f t="shared" ca="1" si="118"/>
        <v>TERMINO</v>
      </c>
      <c r="AL589" s="310" t="s">
        <v>576</v>
      </c>
      <c r="AM589" s="435" t="s">
        <v>390</v>
      </c>
      <c r="AN589" s="872" t="str">
        <f>IFERROR(VLOOKUP(E589,'liquidaciones '!$B$2:$C$1048576,2,0),"NO")</f>
        <v>NO</v>
      </c>
      <c r="AO589" s="972" t="str">
        <f>IFERROR(VLOOKUP(E589,'liquidaciones '!$B$2:$I$1048576,8,0),"")</f>
        <v/>
      </c>
      <c r="AP589" s="435"/>
      <c r="AQ589" s="177" t="s">
        <v>390</v>
      </c>
      <c r="AR589" s="177" t="s">
        <v>4257</v>
      </c>
      <c r="AS589" s="435" t="s">
        <v>3804</v>
      </c>
      <c r="AT589" s="995" t="s">
        <v>560</v>
      </c>
    </row>
    <row r="590" spans="3:46" ht="33.75" x14ac:dyDescent="0.25">
      <c r="C590" s="893"/>
      <c r="D590" s="893"/>
      <c r="E590" s="894" t="s">
        <v>3764</v>
      </c>
      <c r="F590" s="443" t="s">
        <v>3766</v>
      </c>
      <c r="G590" s="919">
        <v>900908055</v>
      </c>
      <c r="H590" s="1037" t="s">
        <v>3765</v>
      </c>
      <c r="I590" s="93">
        <v>571200</v>
      </c>
      <c r="J590" s="899" t="s">
        <v>3767</v>
      </c>
      <c r="K590" s="295">
        <v>2017</v>
      </c>
      <c r="L590" s="548">
        <v>43074</v>
      </c>
      <c r="M590" s="900">
        <v>43088</v>
      </c>
      <c r="N590" s="900">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1">
        <f t="shared" si="112"/>
        <v>43269</v>
      </c>
      <c r="U590" s="62">
        <f t="shared" si="113"/>
        <v>571200</v>
      </c>
      <c r="V590" s="172">
        <f>VLOOKUP(E590,Modificaciones!$B$7:$AU$900,46,0)</f>
        <v>0</v>
      </c>
      <c r="W590" s="93">
        <f t="shared" si="111"/>
        <v>571200</v>
      </c>
      <c r="X590" s="309" t="s">
        <v>2803</v>
      </c>
      <c r="Y590" s="878">
        <f t="shared" si="114"/>
        <v>0</v>
      </c>
      <c r="Z590" s="42">
        <f t="shared" ca="1" si="115"/>
        <v>1</v>
      </c>
      <c r="AA590" s="43">
        <f t="shared" ca="1" si="116"/>
        <v>1</v>
      </c>
      <c r="AB590" s="202" t="str">
        <f t="shared" ca="1" si="117"/>
        <v/>
      </c>
      <c r="AC590" s="44" t="str">
        <f t="shared" si="110"/>
        <v>NO</v>
      </c>
      <c r="AD590" s="894"/>
      <c r="AE590" s="173" t="s">
        <v>1257</v>
      </c>
      <c r="AF590" s="281" t="s">
        <v>1505</v>
      </c>
      <c r="AG590" s="173" t="s">
        <v>1443</v>
      </c>
      <c r="AH590" s="281" t="s">
        <v>560</v>
      </c>
      <c r="AI590" s="305"/>
      <c r="AJ590" s="305" t="s">
        <v>2845</v>
      </c>
      <c r="AK590" s="181" t="str">
        <f t="shared" ca="1" si="118"/>
        <v>TERMINO</v>
      </c>
      <c r="AL590" s="443"/>
      <c r="AM590" s="435" t="s">
        <v>390</v>
      </c>
      <c r="AN590" s="872" t="str">
        <f>IFERROR(VLOOKUP(E590,'liquidaciones '!$B$2:$C$1048576,2,0),"NO")</f>
        <v>NO</v>
      </c>
      <c r="AO590" s="972" t="str">
        <f>IFERROR(VLOOKUP(E590,'liquidaciones '!$B$2:$I$1048576,8,0),"")</f>
        <v/>
      </c>
      <c r="AP590" s="435"/>
      <c r="AQ590" s="435" t="s">
        <v>390</v>
      </c>
      <c r="AR590" s="177" t="s">
        <v>2991</v>
      </c>
      <c r="AS590" s="435"/>
      <c r="AT590" s="995" t="s">
        <v>3968</v>
      </c>
    </row>
    <row r="591" spans="3:46" ht="45" x14ac:dyDescent="0.25">
      <c r="C591" s="893">
        <v>79</v>
      </c>
      <c r="D591" s="893"/>
      <c r="E591" s="894" t="s">
        <v>3769</v>
      </c>
      <c r="F591" s="443" t="s">
        <v>1368</v>
      </c>
      <c r="G591" s="919">
        <v>79797614</v>
      </c>
      <c r="H591" s="1037" t="s">
        <v>3770</v>
      </c>
      <c r="I591" s="93">
        <v>12500004</v>
      </c>
      <c r="J591" s="899" t="s">
        <v>3778</v>
      </c>
      <c r="K591" s="295">
        <v>2017</v>
      </c>
      <c r="L591" s="548">
        <v>43060</v>
      </c>
      <c r="M591" s="900">
        <v>43096</v>
      </c>
      <c r="N591" s="900">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1">
        <f t="shared" si="112"/>
        <v>43460</v>
      </c>
      <c r="U591" s="62">
        <f t="shared" si="113"/>
        <v>12500004</v>
      </c>
      <c r="V591" s="172">
        <f>VLOOKUP(E591,Modificaciones!$B$7:$AU$900,46,0)</f>
        <v>7291669</v>
      </c>
      <c r="W591" s="93">
        <f t="shared" si="111"/>
        <v>5208335</v>
      </c>
      <c r="X591" s="309" t="s">
        <v>2617</v>
      </c>
      <c r="Y591" s="878">
        <f t="shared" si="114"/>
        <v>0.58333333333333337</v>
      </c>
      <c r="Z591" s="42">
        <f t="shared" ca="1" si="115"/>
        <v>0.78846153846153844</v>
      </c>
      <c r="AA591" s="43">
        <f t="shared" ca="1" si="116"/>
        <v>0.20512820512820507</v>
      </c>
      <c r="AB591" s="202">
        <f t="shared" ca="1" si="117"/>
        <v>77</v>
      </c>
      <c r="AC591" s="44" t="str">
        <f t="shared" si="110"/>
        <v>NO</v>
      </c>
      <c r="AD591" s="894"/>
      <c r="AE591" s="173" t="s">
        <v>1258</v>
      </c>
      <c r="AF591" s="281" t="s">
        <v>1370</v>
      </c>
      <c r="AG591" s="173" t="s">
        <v>1440</v>
      </c>
      <c r="AH591" s="281" t="s">
        <v>560</v>
      </c>
      <c r="AI591" s="305" t="s">
        <v>1510</v>
      </c>
      <c r="AJ591" s="305" t="s">
        <v>3821</v>
      </c>
      <c r="AK591" s="181" t="str">
        <f t="shared" ca="1" si="118"/>
        <v>EN EJECUCIÓN</v>
      </c>
      <c r="AL591" s="310" t="s">
        <v>576</v>
      </c>
      <c r="AM591" s="435" t="s">
        <v>390</v>
      </c>
      <c r="AN591" s="872" t="str">
        <f>IFERROR(VLOOKUP(E591,'liquidaciones '!$B$2:$C$1048576,2,0),"NO")</f>
        <v>NO</v>
      </c>
      <c r="AO591" s="972" t="str">
        <f>IFERROR(VLOOKUP(E591,'liquidaciones '!$B$2:$I$1048576,8,0),"")</f>
        <v/>
      </c>
      <c r="AP591" s="435"/>
      <c r="AQ591" s="435" t="s">
        <v>390</v>
      </c>
      <c r="AR591" s="177" t="s">
        <v>4257</v>
      </c>
      <c r="AS591" s="435" t="s">
        <v>3804</v>
      </c>
      <c r="AT591" s="995" t="s">
        <v>560</v>
      </c>
    </row>
    <row r="592" spans="3:46" ht="50.25" customHeight="1" x14ac:dyDescent="0.25">
      <c r="C592" s="893"/>
      <c r="D592" s="893"/>
      <c r="E592" s="894" t="s">
        <v>3773</v>
      </c>
      <c r="F592" s="443" t="s">
        <v>2633</v>
      </c>
      <c r="G592" s="930">
        <v>900699012</v>
      </c>
      <c r="H592" s="1033" t="s">
        <v>2737</v>
      </c>
      <c r="I592" s="93">
        <v>16300000</v>
      </c>
      <c r="J592" s="899" t="s">
        <v>3779</v>
      </c>
      <c r="K592" s="295">
        <v>2017</v>
      </c>
      <c r="L592" s="548">
        <v>43075</v>
      </c>
      <c r="M592" s="900">
        <v>43091</v>
      </c>
      <c r="N592" s="900">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1">
        <f t="shared" si="112"/>
        <v>43152</v>
      </c>
      <c r="U592" s="62">
        <f t="shared" si="113"/>
        <v>16300000</v>
      </c>
      <c r="V592" s="172">
        <f>VLOOKUP(E592,Modificaciones!$B$7:$AU$900,46,0)</f>
        <v>16300000</v>
      </c>
      <c r="W592" s="93">
        <f t="shared" si="111"/>
        <v>0</v>
      </c>
      <c r="X592" s="309" t="s">
        <v>2276</v>
      </c>
      <c r="Y592" s="878">
        <f t="shared" si="114"/>
        <v>1</v>
      </c>
      <c r="Z592" s="42">
        <f t="shared" ca="1" si="115"/>
        <v>1</v>
      </c>
      <c r="AA592" s="43">
        <f t="shared" ca="1" si="116"/>
        <v>0</v>
      </c>
      <c r="AB592" s="202" t="str">
        <f t="shared" ca="1" si="117"/>
        <v/>
      </c>
      <c r="AC592" s="44" t="str">
        <f t="shared" si="110"/>
        <v>SI</v>
      </c>
      <c r="AD592" s="894"/>
      <c r="AE592" s="173" t="s">
        <v>1257</v>
      </c>
      <c r="AF592" s="281" t="s">
        <v>1489</v>
      </c>
      <c r="AG592" s="173" t="s">
        <v>1443</v>
      </c>
      <c r="AH592" s="281" t="s">
        <v>560</v>
      </c>
      <c r="AI592" s="305" t="s">
        <v>1381</v>
      </c>
      <c r="AJ592" s="305" t="s">
        <v>3821</v>
      </c>
      <c r="AK592" s="181" t="str">
        <f t="shared" ca="1" si="118"/>
        <v>TERMINO</v>
      </c>
      <c r="AL592" s="310" t="s">
        <v>576</v>
      </c>
      <c r="AM592" s="435" t="s">
        <v>390</v>
      </c>
      <c r="AN592" s="872" t="str">
        <f>IFERROR(VLOOKUP(E592,'liquidaciones '!$B$2:$C$1048576,2,0),"NO")</f>
        <v>EN TRÁMITE</v>
      </c>
      <c r="AO592" s="972">
        <f>IFERROR(VLOOKUP(E592,'liquidaciones '!$B$2:$I$1048576,8,0),"")</f>
        <v>0</v>
      </c>
      <c r="AP592" s="435"/>
      <c r="AQ592" s="435" t="s">
        <v>390</v>
      </c>
      <c r="AR592" s="996" t="s">
        <v>1511</v>
      </c>
      <c r="AS592" s="435"/>
      <c r="AT592" s="995" t="s">
        <v>3968</v>
      </c>
    </row>
    <row r="593" spans="3:46" ht="33.75" x14ac:dyDescent="0.25">
      <c r="C593" s="893">
        <v>207</v>
      </c>
      <c r="D593" s="893"/>
      <c r="E593" s="894" t="s">
        <v>3776</v>
      </c>
      <c r="F593" s="443" t="s">
        <v>3774</v>
      </c>
      <c r="G593" s="930">
        <v>890900608</v>
      </c>
      <c r="H593" s="1037" t="s">
        <v>3775</v>
      </c>
      <c r="I593" s="93">
        <v>35410320</v>
      </c>
      <c r="J593" s="899" t="s">
        <v>3780</v>
      </c>
      <c r="K593" s="295">
        <v>2017</v>
      </c>
      <c r="L593" s="548">
        <v>43076</v>
      </c>
      <c r="M593" s="900">
        <v>43091</v>
      </c>
      <c r="N593" s="900">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1">
        <f t="shared" si="112"/>
        <v>43211</v>
      </c>
      <c r="U593" s="62">
        <f t="shared" si="113"/>
        <v>35410320</v>
      </c>
      <c r="V593" s="172">
        <f>VLOOKUP(E593,Modificaciones!$B$7:$AU$900,46,0)</f>
        <v>31126053</v>
      </c>
      <c r="W593" s="93">
        <f t="shared" si="111"/>
        <v>4284267</v>
      </c>
      <c r="X593" s="309" t="s">
        <v>2747</v>
      </c>
      <c r="Y593" s="878">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3821</v>
      </c>
      <c r="AK593" s="181" t="str">
        <f t="shared" ca="1" si="118"/>
        <v>TERMINO</v>
      </c>
      <c r="AL593" s="310" t="s">
        <v>574</v>
      </c>
      <c r="AM593" s="435" t="s">
        <v>390</v>
      </c>
      <c r="AN593" s="872" t="str">
        <f>IFERROR(VLOOKUP(E593,'liquidaciones '!$B$2:$C$1048576,2,0),"NO")</f>
        <v>NO</v>
      </c>
      <c r="AO593" s="972" t="str">
        <f>IFERROR(VLOOKUP(E593,'liquidaciones '!$B$2:$I$1048576,8,0),"")</f>
        <v/>
      </c>
      <c r="AP593" s="435"/>
      <c r="AQ593" s="435" t="s">
        <v>390</v>
      </c>
      <c r="AR593" s="1004" t="s">
        <v>1511</v>
      </c>
      <c r="AS593" s="435"/>
      <c r="AT593" s="995" t="s">
        <v>3968</v>
      </c>
    </row>
    <row r="594" spans="3:46" ht="45" x14ac:dyDescent="0.25">
      <c r="C594" s="893"/>
      <c r="D594" s="893"/>
      <c r="E594" s="894" t="s">
        <v>3781</v>
      </c>
      <c r="F594" s="443" t="s">
        <v>3782</v>
      </c>
      <c r="G594" s="919" t="s">
        <v>3783</v>
      </c>
      <c r="H594" s="1037" t="s">
        <v>3784</v>
      </c>
      <c r="I594" s="93">
        <v>165980000</v>
      </c>
      <c r="J594" s="899" t="s">
        <v>3789</v>
      </c>
      <c r="K594" s="295">
        <v>2017</v>
      </c>
      <c r="L594" s="548">
        <v>43090</v>
      </c>
      <c r="M594" s="900">
        <v>43092</v>
      </c>
      <c r="N594" s="900">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1">
        <f t="shared" si="112"/>
        <v>43402</v>
      </c>
      <c r="U594" s="62">
        <f t="shared" si="113"/>
        <v>165980000</v>
      </c>
      <c r="V594" s="172">
        <f>VLOOKUP(E594,Modificaciones!$B$7:$AU$900,46,0)</f>
        <v>162615666</v>
      </c>
      <c r="W594" s="93">
        <f t="shared" si="111"/>
        <v>3364334</v>
      </c>
      <c r="X594" s="309"/>
      <c r="Y594" s="878">
        <f t="shared" si="114"/>
        <v>0.97973048560067477</v>
      </c>
      <c r="Z594" s="42">
        <f t="shared" ca="1" si="115"/>
        <v>0.93870967741935485</v>
      </c>
      <c r="AA594" s="43">
        <f t="shared" ca="1" si="116"/>
        <v>-4.1020808181319923E-2</v>
      </c>
      <c r="AB594" s="202">
        <f t="shared" ca="1" si="117"/>
        <v>19</v>
      </c>
      <c r="AC594" s="44" t="str">
        <f t="shared" ref="AC594:AC600" si="119">IF(Y594&lt;=99.9%,"NO","SI")</f>
        <v>NO</v>
      </c>
      <c r="AD594" s="762" t="s">
        <v>1713</v>
      </c>
      <c r="AE594" s="173" t="s">
        <v>1257</v>
      </c>
      <c r="AF594" s="281" t="s">
        <v>2077</v>
      </c>
      <c r="AG594" s="173"/>
      <c r="AH594" s="281" t="s">
        <v>559</v>
      </c>
      <c r="AI594" s="305"/>
      <c r="AJ594" s="305" t="s">
        <v>2845</v>
      </c>
      <c r="AK594" s="181" t="str">
        <f t="shared" ca="1" si="118"/>
        <v>EN EJECUCIÓN</v>
      </c>
      <c r="AL594" s="310" t="s">
        <v>574</v>
      </c>
      <c r="AM594" s="435" t="s">
        <v>390</v>
      </c>
      <c r="AN594" s="872" t="str">
        <f>IFERROR(VLOOKUP(E594,'liquidaciones '!$B$2:$C$1048576,2,0),"NO")</f>
        <v>NO</v>
      </c>
      <c r="AO594" s="972" t="str">
        <f>IFERROR(VLOOKUP(E594,'liquidaciones '!$B$2:$I$1048576,8,0),"")</f>
        <v/>
      </c>
      <c r="AP594" s="435"/>
      <c r="AQ594" s="435" t="s">
        <v>390</v>
      </c>
      <c r="AR594" s="435" t="s">
        <v>3069</v>
      </c>
      <c r="AS594" s="435"/>
      <c r="AT594" s="995" t="s">
        <v>3968</v>
      </c>
    </row>
    <row r="595" spans="3:46" ht="33.75" x14ac:dyDescent="0.25">
      <c r="C595" s="893"/>
      <c r="D595" s="893"/>
      <c r="E595" s="894" t="s">
        <v>3785</v>
      </c>
      <c r="F595" s="443" t="s">
        <v>3786</v>
      </c>
      <c r="G595" s="919">
        <v>830006901</v>
      </c>
      <c r="H595" s="1037" t="s">
        <v>3790</v>
      </c>
      <c r="I595" s="93">
        <v>219937796</v>
      </c>
      <c r="J595" s="899" t="s">
        <v>3791</v>
      </c>
      <c r="K595" s="295">
        <v>2017</v>
      </c>
      <c r="L595" s="548">
        <v>43088</v>
      </c>
      <c r="M595" s="900">
        <v>43089</v>
      </c>
      <c r="N595" s="900">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1">
        <f t="shared" si="112"/>
        <v>43144</v>
      </c>
      <c r="U595" s="62">
        <f t="shared" si="113"/>
        <v>219937796</v>
      </c>
      <c r="V595" s="172">
        <f>VLOOKUP(E595,Modificaciones!$B$7:$AU$900,46,0)</f>
        <v>219785882</v>
      </c>
      <c r="W595" s="93">
        <f t="shared" si="111"/>
        <v>151914</v>
      </c>
      <c r="X595" s="309" t="s">
        <v>2789</v>
      </c>
      <c r="Y595" s="878">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2790</v>
      </c>
      <c r="AG595" s="894"/>
      <c r="AH595" s="894"/>
      <c r="AI595" s="894"/>
      <c r="AJ595" s="305" t="s">
        <v>2845</v>
      </c>
      <c r="AK595" s="181" t="str">
        <f t="shared" ca="1" si="118"/>
        <v>TERMINO</v>
      </c>
      <c r="AL595" s="310" t="s">
        <v>2733</v>
      </c>
      <c r="AM595" s="435"/>
      <c r="AN595" s="872" t="str">
        <f>IFERROR(VLOOKUP(E595,'liquidaciones '!$B$2:$C$1048576,2,0),"NO")</f>
        <v>NO</v>
      </c>
      <c r="AO595" s="972" t="str">
        <f>IFERROR(VLOOKUP(E595,'liquidaciones '!$B$2:$I$1048576,8,0),"")</f>
        <v/>
      </c>
      <c r="AP595" s="435"/>
      <c r="AQ595" s="435" t="s">
        <v>390</v>
      </c>
      <c r="AR595" s="435" t="s">
        <v>1511</v>
      </c>
      <c r="AS595" s="435"/>
      <c r="AT595" s="995" t="s">
        <v>3968</v>
      </c>
    </row>
    <row r="596" spans="3:46" ht="112.5" x14ac:dyDescent="0.25">
      <c r="C596" s="893"/>
      <c r="D596" s="893"/>
      <c r="E596" s="894" t="s">
        <v>3787</v>
      </c>
      <c r="F596" s="443" t="s">
        <v>2073</v>
      </c>
      <c r="G596" s="919">
        <v>901140878</v>
      </c>
      <c r="H596" s="1037" t="s">
        <v>3817</v>
      </c>
      <c r="I596" s="93">
        <v>147000000</v>
      </c>
      <c r="J596" s="899" t="s">
        <v>3789</v>
      </c>
      <c r="K596" s="295">
        <v>2017</v>
      </c>
      <c r="L596" s="548">
        <v>43090</v>
      </c>
      <c r="M596" s="900">
        <v>43092</v>
      </c>
      <c r="N596" s="900">
        <v>43356</v>
      </c>
      <c r="O596" s="127">
        <f>COUNTA(Modificaciones!I582,Modificaciones!K582,Modificaciones!M582,Modificaciones!O582)</f>
        <v>1</v>
      </c>
      <c r="P596" s="128">
        <f>VLOOKUP(E596,Modificaciones!$B$7:$Q$900,16,0)</f>
        <v>28639250</v>
      </c>
      <c r="Q596" s="129">
        <f>COUNTA(Modificaciones!S596,Modificaciones!U596,Modificaciones!W596,Modificaciones!Y596)</f>
        <v>1</v>
      </c>
      <c r="R596" s="130" t="str">
        <f>IF(Modificaciones!Z596=0,"",VLOOKUP(E596,Modificaciones!$B$7:$AA$1500,25,0))</f>
        <v>46 días calendario</v>
      </c>
      <c r="S596" s="131">
        <f>IF(Modificaciones!AA596=0,"",VLOOKUP(E596,Modificaciones!$B$7:$AA$1500,26,0))</f>
        <v>43402</v>
      </c>
      <c r="T596" s="881">
        <f t="shared" si="112"/>
        <v>43402</v>
      </c>
      <c r="U596" s="62">
        <f t="shared" si="113"/>
        <v>175639250</v>
      </c>
      <c r="V596" s="172">
        <f>VLOOKUP(E596,Modificaciones!$B$7:$AU$900,46,0)</f>
        <v>148043229</v>
      </c>
      <c r="W596" s="93">
        <f t="shared" si="111"/>
        <v>27596021</v>
      </c>
      <c r="X596" s="309"/>
      <c r="Y596" s="878">
        <f t="shared" si="114"/>
        <v>0.84288237965033441</v>
      </c>
      <c r="Z596" s="42">
        <f t="shared" ca="1" si="115"/>
        <v>0.93870967741935485</v>
      </c>
      <c r="AA596" s="43">
        <f t="shared" ca="1" si="116"/>
        <v>9.5827297769020436E-2</v>
      </c>
      <c r="AB596" s="202">
        <f t="shared" ca="1" si="117"/>
        <v>19</v>
      </c>
      <c r="AC596" s="44" t="str">
        <f t="shared" si="119"/>
        <v>NO</v>
      </c>
      <c r="AD596" s="762" t="s">
        <v>1713</v>
      </c>
      <c r="AE596" s="173" t="s">
        <v>1257</v>
      </c>
      <c r="AF596" s="281" t="s">
        <v>3788</v>
      </c>
      <c r="AG596" s="894"/>
      <c r="AH596" s="281" t="s">
        <v>559</v>
      </c>
      <c r="AI596" s="894"/>
      <c r="AJ596" s="305" t="s">
        <v>2845</v>
      </c>
      <c r="AK596" s="181" t="str">
        <f t="shared" ca="1" si="118"/>
        <v>EN EJECUCIÓN</v>
      </c>
      <c r="AL596" s="310" t="s">
        <v>574</v>
      </c>
      <c r="AM596" s="435" t="s">
        <v>390</v>
      </c>
      <c r="AN596" s="872" t="str">
        <f>IFERROR(VLOOKUP(E596,'liquidaciones '!$B$2:$C$1048576,2,0),"NO")</f>
        <v>NO</v>
      </c>
      <c r="AO596" s="972" t="str">
        <f>IFERROR(VLOOKUP(E596,'liquidaciones '!$B$2:$I$1048576,8,0),"")</f>
        <v/>
      </c>
      <c r="AP596" s="435"/>
      <c r="AQ596" s="435" t="s">
        <v>390</v>
      </c>
      <c r="AR596" s="435" t="s">
        <v>3069</v>
      </c>
      <c r="AS596" s="435"/>
      <c r="AT596" s="995" t="s">
        <v>3968</v>
      </c>
    </row>
    <row r="597" spans="3:46" ht="30" x14ac:dyDescent="0.25">
      <c r="C597" s="893"/>
      <c r="D597" s="893"/>
      <c r="E597" s="894" t="s">
        <v>3792</v>
      </c>
      <c r="F597" s="443" t="s">
        <v>3739</v>
      </c>
      <c r="G597" s="919" t="s">
        <v>3741</v>
      </c>
      <c r="H597" s="1037" t="s">
        <v>3793</v>
      </c>
      <c r="I597" s="93">
        <v>43945784</v>
      </c>
      <c r="J597" s="899" t="s">
        <v>3794</v>
      </c>
      <c r="K597" s="295">
        <v>2017</v>
      </c>
      <c r="L597" s="548">
        <v>43090</v>
      </c>
      <c r="M597" s="900">
        <v>43090</v>
      </c>
      <c r="N597" s="900">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1">
        <f t="shared" si="112"/>
        <v>43137</v>
      </c>
      <c r="U597" s="62">
        <f t="shared" si="113"/>
        <v>43945784</v>
      </c>
      <c r="V597" s="172">
        <f>VLOOKUP(E597,Modificaciones!$B$7:$AU$900,46,0)</f>
        <v>43945455</v>
      </c>
      <c r="W597" s="93">
        <f t="shared" si="111"/>
        <v>329</v>
      </c>
      <c r="X597" s="309"/>
      <c r="Y597" s="878">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3821</v>
      </c>
      <c r="AK597" s="181" t="str">
        <f t="shared" ca="1" si="118"/>
        <v>TERMINO</v>
      </c>
      <c r="AL597" s="310" t="s">
        <v>2733</v>
      </c>
      <c r="AM597" s="435"/>
      <c r="AN597" s="872" t="str">
        <f>IFERROR(VLOOKUP(E597,'liquidaciones '!$B$2:$C$1048576,2,0),"NO")</f>
        <v>EN TRÁMITE</v>
      </c>
      <c r="AO597" s="972">
        <f>IFERROR(VLOOKUP(E597,'liquidaciones '!$B$2:$I$1048576,8,0),"")</f>
        <v>0</v>
      </c>
      <c r="AP597" s="435"/>
      <c r="AQ597" s="435" t="s">
        <v>390</v>
      </c>
      <c r="AR597" s="177" t="s">
        <v>3535</v>
      </c>
      <c r="AS597" s="435" t="s">
        <v>3804</v>
      </c>
      <c r="AT597" s="995" t="s">
        <v>560</v>
      </c>
    </row>
    <row r="598" spans="3:46" ht="146.25" x14ac:dyDescent="0.25">
      <c r="C598" s="893"/>
      <c r="D598" s="893"/>
      <c r="E598" s="894" t="s">
        <v>3795</v>
      </c>
      <c r="F598" s="443" t="s">
        <v>3796</v>
      </c>
      <c r="G598" s="919">
        <v>9002546914</v>
      </c>
      <c r="H598" s="1037" t="s">
        <v>3815</v>
      </c>
      <c r="I598" s="93">
        <v>474509835</v>
      </c>
      <c r="J598" s="899" t="s">
        <v>3828</v>
      </c>
      <c r="K598" s="295">
        <v>2017</v>
      </c>
      <c r="L598" s="548">
        <v>43096</v>
      </c>
      <c r="M598" s="900">
        <v>43104</v>
      </c>
      <c r="N598" s="900">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1">
        <f t="shared" si="112"/>
        <v>43468</v>
      </c>
      <c r="U598" s="62">
        <f t="shared" si="113"/>
        <v>474509835</v>
      </c>
      <c r="V598" s="172">
        <f>VLOOKUP(E598,Modificaciones!$B$7:$AU$900,46,0)</f>
        <v>420814777</v>
      </c>
      <c r="W598" s="93">
        <f t="shared" si="111"/>
        <v>53695058</v>
      </c>
      <c r="X598" s="315" t="s">
        <v>3797</v>
      </c>
      <c r="Y598" s="878">
        <f t="shared" si="114"/>
        <v>0.88684100088252127</v>
      </c>
      <c r="Z598" s="42">
        <f t="shared" ca="1" si="115"/>
        <v>0.76648351648351654</v>
      </c>
      <c r="AA598" s="43">
        <f t="shared" ca="1" si="116"/>
        <v>-0.12035748439900473</v>
      </c>
      <c r="AB598" s="202">
        <f t="shared" ca="1" si="117"/>
        <v>85</v>
      </c>
      <c r="AC598" s="44" t="str">
        <f t="shared" si="119"/>
        <v>NO</v>
      </c>
      <c r="AD598" s="894"/>
      <c r="AE598" s="897"/>
      <c r="AF598" s="897"/>
      <c r="AG598" s="894"/>
      <c r="AH598" s="894"/>
      <c r="AI598" s="894"/>
      <c r="AJ598" s="305" t="s">
        <v>3821</v>
      </c>
      <c r="AK598" s="181" t="str">
        <f t="shared" ca="1" si="118"/>
        <v>EN EJECUCIÓN</v>
      </c>
      <c r="AL598" s="443"/>
      <c r="AM598" s="435"/>
      <c r="AN598" s="872" t="str">
        <f>IFERROR(VLOOKUP(E598,'liquidaciones '!$B$2:$C$1048576,2,0),"NO")</f>
        <v>NO</v>
      </c>
      <c r="AO598" s="972" t="str">
        <f>IFERROR(VLOOKUP(E598,'liquidaciones '!$B$2:$I$1048576,8,0),"")</f>
        <v/>
      </c>
      <c r="AP598" s="435"/>
      <c r="AQ598" s="435" t="s">
        <v>390</v>
      </c>
      <c r="AR598" s="996" t="s">
        <v>4257</v>
      </c>
      <c r="AS598" s="435" t="s">
        <v>3804</v>
      </c>
      <c r="AT598" s="995" t="s">
        <v>560</v>
      </c>
    </row>
    <row r="599" spans="3:46" ht="135" x14ac:dyDescent="0.25">
      <c r="C599" s="893"/>
      <c r="D599" s="893"/>
      <c r="E599" s="894" t="s">
        <v>3798</v>
      </c>
      <c r="F599" s="443" t="s">
        <v>3816</v>
      </c>
      <c r="G599" s="919" t="s">
        <v>3811</v>
      </c>
      <c r="H599" s="1037" t="s">
        <v>3812</v>
      </c>
      <c r="I599" s="93">
        <v>259718863</v>
      </c>
      <c r="J599" s="899" t="s">
        <v>3825</v>
      </c>
      <c r="K599" s="295">
        <v>2017</v>
      </c>
      <c r="L599" s="548">
        <v>43097</v>
      </c>
      <c r="M599" s="900">
        <v>43116</v>
      </c>
      <c r="N599" s="900">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1">
        <f t="shared" si="112"/>
        <v>43296</v>
      </c>
      <c r="U599" s="62">
        <f t="shared" si="113"/>
        <v>356890690</v>
      </c>
      <c r="V599" s="172">
        <f>VLOOKUP(E599,Modificaciones!$B$7:$AU$900,46,0)</f>
        <v>356890690</v>
      </c>
      <c r="W599" s="93">
        <f t="shared" si="111"/>
        <v>0</v>
      </c>
      <c r="X599" s="315" t="s">
        <v>3813</v>
      </c>
      <c r="Y599" s="878">
        <f t="shared" si="114"/>
        <v>1</v>
      </c>
      <c r="Z599" s="42">
        <f t="shared" ca="1" si="115"/>
        <v>1</v>
      </c>
      <c r="AA599" s="43">
        <f t="shared" ca="1" si="116"/>
        <v>0</v>
      </c>
      <c r="AB599" s="202" t="str">
        <f t="shared" ca="1" si="117"/>
        <v/>
      </c>
      <c r="AC599" s="44" t="str">
        <f t="shared" si="119"/>
        <v>SI</v>
      </c>
      <c r="AD599" s="894" t="s">
        <v>1720</v>
      </c>
      <c r="AE599" s="897" t="s">
        <v>1257</v>
      </c>
      <c r="AF599" s="897" t="s">
        <v>3814</v>
      </c>
      <c r="AG599" s="894"/>
      <c r="AH599" s="894" t="s">
        <v>559</v>
      </c>
      <c r="AI599" s="894"/>
      <c r="AJ599" s="305" t="s">
        <v>2845</v>
      </c>
      <c r="AK599" s="181" t="str">
        <f t="shared" ca="1" si="118"/>
        <v>TERMINO</v>
      </c>
      <c r="AL599" s="310" t="s">
        <v>574</v>
      </c>
      <c r="AM599" s="435" t="s">
        <v>390</v>
      </c>
      <c r="AN599" s="872" t="str">
        <f>IFERROR(VLOOKUP(E599,'liquidaciones '!$B$2:$C$1048576,2,0),"NO")</f>
        <v>EN TRÁMITE</v>
      </c>
      <c r="AO599" s="972">
        <f>IFERROR(VLOOKUP(E599,'liquidaciones '!$B$2:$I$1048576,8,0),"")</f>
        <v>0</v>
      </c>
      <c r="AP599" s="435"/>
      <c r="AQ599" s="435" t="s">
        <v>390</v>
      </c>
      <c r="AR599" s="996" t="s">
        <v>3589</v>
      </c>
      <c r="AS599" s="435"/>
      <c r="AT599" s="995" t="s">
        <v>3968</v>
      </c>
    </row>
    <row r="600" spans="3:46" ht="56.25" x14ac:dyDescent="0.25">
      <c r="C600" s="893">
        <v>221</v>
      </c>
      <c r="D600" s="893"/>
      <c r="E600" s="894" t="s">
        <v>3818</v>
      </c>
      <c r="F600" s="443" t="s">
        <v>3819</v>
      </c>
      <c r="G600" s="919" t="s">
        <v>3820</v>
      </c>
      <c r="H600" s="1037" t="s">
        <v>3826</v>
      </c>
      <c r="I600" s="93">
        <v>223899975</v>
      </c>
      <c r="J600" s="899" t="s">
        <v>3827</v>
      </c>
      <c r="K600" s="295">
        <v>2017</v>
      </c>
      <c r="L600" s="548">
        <v>43098</v>
      </c>
      <c r="M600" s="900">
        <v>43112</v>
      </c>
      <c r="N600" s="900">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1">
        <f t="shared" si="112"/>
        <v>43201</v>
      </c>
      <c r="U600" s="62">
        <f t="shared" si="113"/>
        <v>223899975</v>
      </c>
      <c r="V600" s="172">
        <f>VLOOKUP(E600,Modificaciones!$B$7:$AU$900,46,0)</f>
        <v>223899974</v>
      </c>
      <c r="W600" s="93">
        <f t="shared" si="111"/>
        <v>1</v>
      </c>
      <c r="X600" s="309" t="s">
        <v>2741</v>
      </c>
      <c r="Y600" s="878">
        <f t="shared" si="114"/>
        <v>0.99999999553371988</v>
      </c>
      <c r="Z600" s="42">
        <f t="shared" ca="1" si="115"/>
        <v>1</v>
      </c>
      <c r="AA600" s="43">
        <f t="shared" ca="1" si="116"/>
        <v>4.4662801235162419E-9</v>
      </c>
      <c r="AB600" s="202" t="str">
        <f t="shared" ca="1" si="117"/>
        <v/>
      </c>
      <c r="AC600" s="44" t="str">
        <f t="shared" si="119"/>
        <v>SI</v>
      </c>
      <c r="AD600" s="894"/>
      <c r="AE600" s="173" t="s">
        <v>1258</v>
      </c>
      <c r="AF600" s="301" t="s">
        <v>1177</v>
      </c>
      <c r="AG600" s="173" t="s">
        <v>1440</v>
      </c>
      <c r="AH600" s="281" t="s">
        <v>560</v>
      </c>
      <c r="AI600" s="174" t="s">
        <v>1510</v>
      </c>
      <c r="AJ600" s="305" t="s">
        <v>3821</v>
      </c>
      <c r="AK600" s="181" t="str">
        <f t="shared" ca="1" si="118"/>
        <v>TERMINO</v>
      </c>
      <c r="AL600" s="443"/>
      <c r="AM600" s="435" t="s">
        <v>390</v>
      </c>
      <c r="AN600" s="872" t="str">
        <f>IFERROR(VLOOKUP(E600,'liquidaciones '!$B$2:$C$1048576,2,0),"NO")</f>
        <v>NO</v>
      </c>
      <c r="AO600" s="972" t="str">
        <f>IFERROR(VLOOKUP(E600,'liquidaciones '!$B$2:$I$1048576,8,0),"")</f>
        <v/>
      </c>
      <c r="AP600" s="435"/>
      <c r="AQ600" s="435" t="s">
        <v>390</v>
      </c>
      <c r="AR600" s="996" t="s">
        <v>3535</v>
      </c>
      <c r="AS600" s="435" t="s">
        <v>3804</v>
      </c>
      <c r="AT600" s="995" t="s">
        <v>560</v>
      </c>
    </row>
    <row r="601" spans="3:46" ht="30" x14ac:dyDescent="0.25">
      <c r="C601" s="893">
        <v>120</v>
      </c>
      <c r="D601" s="893"/>
      <c r="E601" s="894" t="s">
        <v>3838</v>
      </c>
      <c r="F601" s="443" t="s">
        <v>3839</v>
      </c>
      <c r="G601" s="930" t="s">
        <v>3840</v>
      </c>
      <c r="H601" s="1033" t="s">
        <v>402</v>
      </c>
      <c r="I601" s="93">
        <v>344000000</v>
      </c>
      <c r="J601" s="899" t="s">
        <v>3844</v>
      </c>
      <c r="K601" s="295">
        <v>2018</v>
      </c>
      <c r="L601" s="548">
        <v>43115</v>
      </c>
      <c r="M601" s="900">
        <v>43121</v>
      </c>
      <c r="N601" s="900">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1">
        <f t="shared" ref="T601:T606" si="120">MAX(N601,S601)</f>
        <v>43378</v>
      </c>
      <c r="U601" s="62">
        <f t="shared" ref="U601" si="121">I601+P601</f>
        <v>344000000</v>
      </c>
      <c r="V601" s="172">
        <f>VLOOKUP(E601,Modificaciones!$B$7:$AU$900,46,0)</f>
        <v>286638517</v>
      </c>
      <c r="W601" s="93">
        <f t="shared" ref="W601" si="122">U601-V601</f>
        <v>57361483</v>
      </c>
      <c r="X601" s="309"/>
      <c r="Y601" s="878">
        <f t="shared" ref="Y601:Y606" si="123">(V601*100%)/U601</f>
        <v>0.83325150290697669</v>
      </c>
      <c r="Z601" s="42">
        <f t="shared" ref="Z601:Z606" ca="1" si="124">IF((($F$3-M601)*100%/(T601-M601))&gt;100%,100%,(($F$3-M601)*100%/(T601-M601)))</f>
        <v>1</v>
      </c>
      <c r="AA601" s="43">
        <f t="shared" ref="AA601:AA606" ca="1" si="125">Z601-Y601</f>
        <v>0.16674849709302331</v>
      </c>
      <c r="AB601" s="202" t="str">
        <f t="shared" ref="AB601:AB606" ca="1" si="126">IF(Z601&lt;100%,T601-$F$3,"")</f>
        <v/>
      </c>
      <c r="AC601" s="44" t="str">
        <f t="shared" ref="AC601:AC606" si="127">IF(Y601&lt;=99.9%,"NO","SI")</f>
        <v>NO</v>
      </c>
      <c r="AD601" s="894"/>
      <c r="AE601" s="173" t="s">
        <v>1257</v>
      </c>
      <c r="AF601" s="281" t="s">
        <v>1140</v>
      </c>
      <c r="AG601" s="173"/>
      <c r="AH601" s="281" t="s">
        <v>560</v>
      </c>
      <c r="AI601" s="305" t="s">
        <v>1320</v>
      </c>
      <c r="AJ601" s="305" t="s">
        <v>2845</v>
      </c>
      <c r="AK601" s="181" t="str">
        <f t="shared" ref="AK601:AK606" ca="1" si="128">IF(T601&gt;=$F$3,"EN EJECUCIÓN","TERMINO")</f>
        <v>TERMINO</v>
      </c>
      <c r="AL601" s="443"/>
      <c r="AM601" s="435"/>
      <c r="AN601" s="872" t="str">
        <f>IFERROR(VLOOKUP(E601,'liquidaciones '!$B$2:$C$1048576,2,0),"NO")</f>
        <v>NO</v>
      </c>
      <c r="AO601" s="972" t="str">
        <f>IFERROR(VLOOKUP(E601,'liquidaciones '!$B$2:$I$1048576,8,0),"")</f>
        <v/>
      </c>
      <c r="AP601" s="435"/>
      <c r="AQ601" s="177" t="s">
        <v>390</v>
      </c>
      <c r="AR601" s="435" t="s">
        <v>1511</v>
      </c>
      <c r="AS601" s="435"/>
      <c r="AT601" s="995" t="s">
        <v>3968</v>
      </c>
    </row>
    <row r="602" spans="3:46" ht="33.75" x14ac:dyDescent="0.25">
      <c r="C602" s="893">
        <v>106</v>
      </c>
      <c r="D602" s="893"/>
      <c r="E602" s="894" t="s">
        <v>3851</v>
      </c>
      <c r="F602" s="443" t="s">
        <v>3705</v>
      </c>
      <c r="G602" s="919">
        <v>91156558</v>
      </c>
      <c r="H602" s="1037" t="s">
        <v>3852</v>
      </c>
      <c r="I602" s="93">
        <v>7300000</v>
      </c>
      <c r="J602" s="899" t="s">
        <v>3851</v>
      </c>
      <c r="K602" s="295">
        <v>2018</v>
      </c>
      <c r="L602" s="548">
        <v>43125</v>
      </c>
      <c r="M602" s="900">
        <v>43129</v>
      </c>
      <c r="N602" s="900">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1">
        <f t="shared" si="120"/>
        <v>43187</v>
      </c>
      <c r="U602" s="62">
        <f t="shared" ref="U602:U606" si="129">I602+P602</f>
        <v>7300000</v>
      </c>
      <c r="V602" s="172">
        <f>VLOOKUP(E602,Modificaciones!$B$7:$AU$900,46,0)</f>
        <v>7300000</v>
      </c>
      <c r="W602" s="93">
        <f t="shared" ref="W602:W606" si="130">U602-V602</f>
        <v>0</v>
      </c>
      <c r="X602" s="309"/>
      <c r="Y602" s="878">
        <f t="shared" si="123"/>
        <v>1</v>
      </c>
      <c r="Z602" s="42">
        <f t="shared" ca="1" si="124"/>
        <v>1</v>
      </c>
      <c r="AA602" s="43">
        <f t="shared" ca="1" si="125"/>
        <v>0</v>
      </c>
      <c r="AB602" s="202" t="str">
        <f t="shared" ca="1" si="126"/>
        <v/>
      </c>
      <c r="AC602" s="44" t="str">
        <f t="shared" si="127"/>
        <v>SI</v>
      </c>
      <c r="AD602" s="762" t="s">
        <v>1713</v>
      </c>
      <c r="AE602" s="173" t="s">
        <v>1257</v>
      </c>
      <c r="AF602" s="281" t="s">
        <v>1308</v>
      </c>
      <c r="AG602" s="894"/>
      <c r="AH602" s="894"/>
      <c r="AI602" s="894"/>
      <c r="AJ602" s="305" t="s">
        <v>2845</v>
      </c>
      <c r="AK602" s="181" t="str">
        <f t="shared" ca="1" si="128"/>
        <v>TERMINO</v>
      </c>
      <c r="AL602" s="310" t="s">
        <v>582</v>
      </c>
      <c r="AM602" s="176" t="s">
        <v>390</v>
      </c>
      <c r="AN602" s="872" t="str">
        <f>IFERROR(VLOOKUP(E602,'liquidaciones '!$B$2:$C$1048576,2,0),"NO")</f>
        <v>LIQUIDADO</v>
      </c>
      <c r="AO602" s="972">
        <f>IFERROR(VLOOKUP(E602,'liquidaciones '!$B$2:$I$1048576,8,0),"")</f>
        <v>0</v>
      </c>
      <c r="AP602" s="435"/>
      <c r="AQ602" s="435" t="s">
        <v>390</v>
      </c>
      <c r="AR602" s="996" t="s">
        <v>2991</v>
      </c>
      <c r="AS602" s="435"/>
      <c r="AT602" s="995" t="s">
        <v>3968</v>
      </c>
    </row>
    <row r="603" spans="3:46" ht="33.75" x14ac:dyDescent="0.25">
      <c r="C603" s="893"/>
      <c r="D603" s="893"/>
      <c r="E603" s="894" t="s">
        <v>3853</v>
      </c>
      <c r="F603" s="443" t="s">
        <v>1031</v>
      </c>
      <c r="G603" s="919" t="s">
        <v>3854</v>
      </c>
      <c r="H603" s="1037" t="s">
        <v>3855</v>
      </c>
      <c r="I603" s="93">
        <v>4300000</v>
      </c>
      <c r="J603" s="899" t="s">
        <v>3853</v>
      </c>
      <c r="K603" s="295">
        <v>2018</v>
      </c>
      <c r="L603" s="548">
        <v>43125</v>
      </c>
      <c r="M603" s="900">
        <v>43133</v>
      </c>
      <c r="N603" s="900">
        <v>43252</v>
      </c>
      <c r="O603" s="127">
        <f>COUNTA(Modificaciones!I589,Modificaciones!K589,Modificaciones!M589,Modificaciones!O589)</f>
        <v>0</v>
      </c>
      <c r="P603" s="128">
        <f>VLOOKUP(E603,Modificaciones!$B$7:$Q$900,16,0)</f>
        <v>0</v>
      </c>
      <c r="Q603" s="129">
        <f>COUNTA(Modificaciones!S603,Modificaciones!U603,Modificaciones!W603,Modificaciones!Y603)</f>
        <v>2</v>
      </c>
      <c r="R603" s="130" t="str">
        <f>IF(Modificaciones!Z603=0,"",VLOOKUP(E603,Modificaciones!$B$7:$AA$1500,25,0))</f>
        <v>2 meses y 29 días</v>
      </c>
      <c r="S603" s="131">
        <f>IF(Modificaciones!AA603=0,"",VLOOKUP(E603,Modificaciones!$B$7:$AA$1500,26,0))</f>
        <v>43342</v>
      </c>
      <c r="T603" s="881">
        <f t="shared" si="120"/>
        <v>43342</v>
      </c>
      <c r="U603" s="62">
        <f t="shared" si="129"/>
        <v>4300000</v>
      </c>
      <c r="V603" s="172">
        <f>VLOOKUP(E603,Modificaciones!$B$7:$AU$900,46,0)</f>
        <v>4300000</v>
      </c>
      <c r="W603" s="93">
        <f t="shared" si="130"/>
        <v>0</v>
      </c>
      <c r="X603" s="309"/>
      <c r="Y603" s="878">
        <f t="shared" si="123"/>
        <v>1</v>
      </c>
      <c r="Z603" s="42">
        <f t="shared" ca="1" si="124"/>
        <v>1</v>
      </c>
      <c r="AA603" s="43">
        <f t="shared" ca="1" si="125"/>
        <v>0</v>
      </c>
      <c r="AB603" s="202" t="str">
        <f t="shared" ca="1" si="126"/>
        <v/>
      </c>
      <c r="AC603" s="44" t="str">
        <f t="shared" si="127"/>
        <v>SI</v>
      </c>
      <c r="AD603" s="894"/>
      <c r="AE603" s="173" t="s">
        <v>1257</v>
      </c>
      <c r="AF603" s="281" t="s">
        <v>1292</v>
      </c>
      <c r="AG603" s="894"/>
      <c r="AH603" s="281" t="s">
        <v>564</v>
      </c>
      <c r="AI603" s="894"/>
      <c r="AJ603" s="305" t="s">
        <v>2845</v>
      </c>
      <c r="AK603" s="181" t="str">
        <f t="shared" ca="1" si="128"/>
        <v>TERMINO</v>
      </c>
      <c r="AL603" s="310" t="s">
        <v>582</v>
      </c>
      <c r="AM603" s="435" t="s">
        <v>390</v>
      </c>
      <c r="AN603" s="872" t="str">
        <f>IFERROR(VLOOKUP(E603,'liquidaciones '!$B$2:$C$1048576,2,0),"NO")</f>
        <v>NO</v>
      </c>
      <c r="AO603" s="972" t="str">
        <f>IFERROR(VLOOKUP(E603,'liquidaciones '!$B$2:$I$1048576,8,0),"")</f>
        <v/>
      </c>
      <c r="AP603" s="435"/>
      <c r="AQ603" s="435" t="s">
        <v>390</v>
      </c>
      <c r="AR603" s="177" t="s">
        <v>2977</v>
      </c>
      <c r="AS603" s="435"/>
      <c r="AT603" s="995" t="s">
        <v>3968</v>
      </c>
    </row>
    <row r="604" spans="3:46" ht="56.25" x14ac:dyDescent="0.25">
      <c r="C604" s="893">
        <v>116</v>
      </c>
      <c r="D604" s="893"/>
      <c r="E604" s="894" t="s">
        <v>3856</v>
      </c>
      <c r="F604" s="443" t="s">
        <v>3618</v>
      </c>
      <c r="G604" s="919">
        <v>1022949330</v>
      </c>
      <c r="H604" s="1037" t="s">
        <v>3619</v>
      </c>
      <c r="I604" s="93">
        <v>9982000</v>
      </c>
      <c r="J604" s="899" t="s">
        <v>3856</v>
      </c>
      <c r="K604" s="295">
        <v>2018</v>
      </c>
      <c r="L604" s="548">
        <v>43124</v>
      </c>
      <c r="M604" s="900">
        <v>43129</v>
      </c>
      <c r="N604" s="900">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1">
        <f t="shared" si="120"/>
        <v>43285</v>
      </c>
      <c r="U604" s="62">
        <f t="shared" si="129"/>
        <v>9982000</v>
      </c>
      <c r="V604" s="172">
        <f>VLOOKUP(E604,Modificaciones!$B$7:$AU$900,46,0)</f>
        <v>9982000</v>
      </c>
      <c r="W604" s="93">
        <f t="shared" si="130"/>
        <v>0</v>
      </c>
      <c r="X604" s="309" t="s">
        <v>1970</v>
      </c>
      <c r="Y604" s="878">
        <f t="shared" si="123"/>
        <v>1</v>
      </c>
      <c r="Z604" s="42">
        <f t="shared" ca="1" si="124"/>
        <v>1</v>
      </c>
      <c r="AA604" s="43">
        <f t="shared" ca="1" si="125"/>
        <v>0</v>
      </c>
      <c r="AB604" s="202" t="str">
        <f t="shared" ca="1" si="126"/>
        <v/>
      </c>
      <c r="AC604" s="44" t="str">
        <f t="shared" si="127"/>
        <v>SI</v>
      </c>
      <c r="AD604" s="762" t="s">
        <v>1714</v>
      </c>
      <c r="AE604" s="173" t="s">
        <v>1257</v>
      </c>
      <c r="AF604" s="281" t="s">
        <v>3620</v>
      </c>
      <c r="AG604" s="894" t="s">
        <v>3621</v>
      </c>
      <c r="AH604" s="281" t="s">
        <v>560</v>
      </c>
      <c r="AI604" s="894" t="s">
        <v>3622</v>
      </c>
      <c r="AJ604" s="305" t="s">
        <v>3821</v>
      </c>
      <c r="AK604" s="181" t="str">
        <f t="shared" ca="1" si="128"/>
        <v>TERMINO</v>
      </c>
      <c r="AL604" s="310" t="s">
        <v>582</v>
      </c>
      <c r="AM604" s="435" t="s">
        <v>391</v>
      </c>
      <c r="AN604" s="872" t="str">
        <f>IFERROR(VLOOKUP(E604,'liquidaciones '!$B$2:$C$1048576,2,0),"NO")</f>
        <v>NO</v>
      </c>
      <c r="AO604" s="972" t="str">
        <f>IFERROR(VLOOKUP(E604,'liquidaciones '!$B$2:$I$1048576,8,0),"")</f>
        <v/>
      </c>
      <c r="AP604" s="435"/>
      <c r="AQ604" s="435" t="s">
        <v>390</v>
      </c>
      <c r="AR604" s="177" t="s">
        <v>3589</v>
      </c>
      <c r="AS604" s="435" t="s">
        <v>3800</v>
      </c>
      <c r="AT604" s="995" t="s">
        <v>560</v>
      </c>
    </row>
    <row r="605" spans="3:46" ht="33.75" x14ac:dyDescent="0.25">
      <c r="C605" s="893">
        <v>85</v>
      </c>
      <c r="D605" s="893"/>
      <c r="E605" s="894" t="s">
        <v>3857</v>
      </c>
      <c r="F605" s="443" t="s">
        <v>3858</v>
      </c>
      <c r="G605" s="919">
        <v>79730476</v>
      </c>
      <c r="H605" s="1035" t="s">
        <v>2920</v>
      </c>
      <c r="I605" s="93">
        <v>70452000</v>
      </c>
      <c r="J605" s="899" t="s">
        <v>3857</v>
      </c>
      <c r="K605" s="295">
        <v>2018</v>
      </c>
      <c r="L605" s="548">
        <v>43126</v>
      </c>
      <c r="M605" s="900">
        <v>43132</v>
      </c>
      <c r="N605" s="900">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1">
        <f t="shared" si="120"/>
        <v>43496</v>
      </c>
      <c r="U605" s="62">
        <f t="shared" si="129"/>
        <v>70452000</v>
      </c>
      <c r="V605" s="172">
        <f>VLOOKUP(E605,Modificaciones!$B$7:$AU$900,46,0)</f>
        <v>41097000</v>
      </c>
      <c r="W605" s="93">
        <f t="shared" si="130"/>
        <v>29355000</v>
      </c>
      <c r="X605" s="309" t="s">
        <v>1095</v>
      </c>
      <c r="Y605" s="878">
        <f t="shared" si="123"/>
        <v>0.58333333333333337</v>
      </c>
      <c r="Z605" s="42">
        <f t="shared" ca="1" si="124"/>
        <v>0.68956043956043955</v>
      </c>
      <c r="AA605" s="43">
        <f t="shared" ca="1" si="125"/>
        <v>0.10622710622710618</v>
      </c>
      <c r="AB605" s="202">
        <f t="shared" ca="1" si="126"/>
        <v>113</v>
      </c>
      <c r="AC605" s="44" t="str">
        <f t="shared" si="127"/>
        <v>NO</v>
      </c>
      <c r="AD605" s="762" t="s">
        <v>1714</v>
      </c>
      <c r="AE605" s="173" t="s">
        <v>1257</v>
      </c>
      <c r="AF605" s="173" t="s">
        <v>2178</v>
      </c>
      <c r="AG605" s="173" t="s">
        <v>1178</v>
      </c>
      <c r="AH605" s="281" t="s">
        <v>559</v>
      </c>
      <c r="AI605" s="174"/>
      <c r="AJ605" s="305" t="s">
        <v>2845</v>
      </c>
      <c r="AK605" s="181" t="str">
        <f t="shared" ca="1" si="128"/>
        <v>EN EJECUCIÓN</v>
      </c>
      <c r="AL605" s="181" t="s">
        <v>582</v>
      </c>
      <c r="AM605" s="176" t="s">
        <v>391</v>
      </c>
      <c r="AN605" s="872" t="str">
        <f>IFERROR(VLOOKUP(E605,'liquidaciones '!$B$2:$C$1048576,2,0),"NO")</f>
        <v>NO</v>
      </c>
      <c r="AO605" s="972" t="str">
        <f>IFERROR(VLOOKUP(E605,'liquidaciones '!$B$2:$I$1048576,8,0),"")</f>
        <v/>
      </c>
      <c r="AP605" s="435"/>
      <c r="AQ605" s="177" t="s">
        <v>390</v>
      </c>
      <c r="AR605" s="435" t="s">
        <v>1511</v>
      </c>
      <c r="AS605" s="435"/>
      <c r="AT605" s="995" t="s">
        <v>3968</v>
      </c>
    </row>
    <row r="606" spans="3:46" ht="22.5" x14ac:dyDescent="0.25">
      <c r="C606" s="893">
        <v>58</v>
      </c>
      <c r="D606" s="893"/>
      <c r="E606" s="894" t="s">
        <v>3861</v>
      </c>
      <c r="F606" s="923" t="s">
        <v>3860</v>
      </c>
      <c r="G606" s="932">
        <v>860001022</v>
      </c>
      <c r="H606" s="1035" t="s">
        <v>2860</v>
      </c>
      <c r="I606" s="93">
        <v>1379700</v>
      </c>
      <c r="J606" s="899" t="s">
        <v>3866</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1">
        <f t="shared" si="120"/>
        <v>43549</v>
      </c>
      <c r="U606" s="62">
        <f t="shared" si="129"/>
        <v>1379700</v>
      </c>
      <c r="V606" s="172">
        <f>VLOOKUP(E606,Modificaciones!$B$7:$AU$900,46,0)</f>
        <v>1379700</v>
      </c>
      <c r="W606" s="93">
        <f t="shared" si="130"/>
        <v>0</v>
      </c>
      <c r="X606" s="309" t="s">
        <v>2861</v>
      </c>
      <c r="Y606" s="878">
        <f t="shared" si="123"/>
        <v>1</v>
      </c>
      <c r="Z606" s="42">
        <f t="shared" ca="1" si="124"/>
        <v>0.54395604395604391</v>
      </c>
      <c r="AA606" s="43">
        <f t="shared" ca="1" si="125"/>
        <v>-0.45604395604395609</v>
      </c>
      <c r="AB606" s="202">
        <f t="shared" ca="1" si="126"/>
        <v>166</v>
      </c>
      <c r="AC606" s="44" t="str">
        <f t="shared" si="127"/>
        <v>SI</v>
      </c>
      <c r="AD606" s="435" t="s">
        <v>1713</v>
      </c>
      <c r="AE606" s="897" t="s">
        <v>1257</v>
      </c>
      <c r="AF606" s="897" t="s">
        <v>1126</v>
      </c>
      <c r="AG606" s="894"/>
      <c r="AH606" s="580" t="s">
        <v>564</v>
      </c>
      <c r="AI606" s="894"/>
      <c r="AJ606" s="305" t="s">
        <v>3824</v>
      </c>
      <c r="AK606" s="181" t="str">
        <f t="shared" ca="1" si="128"/>
        <v>EN EJECUCIÓN</v>
      </c>
      <c r="AL606" s="443"/>
      <c r="AM606" s="435"/>
      <c r="AN606" s="872" t="str">
        <f>IFERROR(VLOOKUP(E606,'liquidaciones '!$B$2:$C$1048576,2,0),"NO")</f>
        <v>NO</v>
      </c>
      <c r="AO606" s="972" t="str">
        <f>IFERROR(VLOOKUP(E606,'liquidaciones '!$B$2:$I$1048576,8,0),"")</f>
        <v/>
      </c>
      <c r="AP606" s="435"/>
      <c r="AQ606" s="435" t="s">
        <v>390</v>
      </c>
      <c r="AR606" s="177" t="s">
        <v>2977</v>
      </c>
      <c r="AS606" s="435"/>
      <c r="AT606" s="995" t="s">
        <v>3949</v>
      </c>
    </row>
    <row r="607" spans="3:46" ht="45" x14ac:dyDescent="0.25">
      <c r="C607" s="893"/>
      <c r="D607" s="893"/>
      <c r="E607" s="894" t="s">
        <v>3862</v>
      </c>
      <c r="F607" s="443" t="s">
        <v>3863</v>
      </c>
      <c r="G607" s="919">
        <v>9395124</v>
      </c>
      <c r="H607" s="1037" t="s">
        <v>3864</v>
      </c>
      <c r="I607" s="93">
        <v>77000000</v>
      </c>
      <c r="J607" s="899" t="s">
        <v>3862</v>
      </c>
      <c r="K607" s="295">
        <v>2018</v>
      </c>
      <c r="L607" s="548">
        <v>43126</v>
      </c>
      <c r="M607" s="548">
        <v>43132</v>
      </c>
      <c r="N607" s="548">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1">
        <f t="shared" ref="T607:T645" si="131">MAX(N607,S607)</f>
        <v>43465</v>
      </c>
      <c r="U607" s="62">
        <f t="shared" ref="U607:U645" si="132">I607+P607</f>
        <v>77000000</v>
      </c>
      <c r="V607" s="172">
        <f>VLOOKUP(E607,Modificaciones!$B$7:$AU$900,46,0)</f>
        <v>42000000</v>
      </c>
      <c r="W607" s="93">
        <f t="shared" ref="W607:W645" si="133">U607-V607</f>
        <v>35000000</v>
      </c>
      <c r="X607" s="309" t="s">
        <v>1095</v>
      </c>
      <c r="Y607" s="878">
        <f t="shared" ref="Y607:Y645" si="134">(V607*100%)/U607</f>
        <v>0.54545454545454541</v>
      </c>
      <c r="Z607" s="42">
        <f t="shared" ref="Z607:Z645" ca="1" si="135">IF((($F$3-M607)*100%/(T607-M607))&gt;100%,100%,(($F$3-M607)*100%/(T607-M607)))</f>
        <v>0.75375375375375375</v>
      </c>
      <c r="AA607" s="43">
        <f t="shared" ref="AA607:AA645" ca="1" si="136">Z607-Y607</f>
        <v>0.20829920829920834</v>
      </c>
      <c r="AB607" s="202">
        <f t="shared" ref="AB607:AB645" ca="1" si="137">IF(Z607&lt;100%,T607-$F$3,"")</f>
        <v>82</v>
      </c>
      <c r="AC607" s="44" t="str">
        <f t="shared" ref="AC607:AC645" si="138">IF(Y607&lt;=99.9%,"NO","SI")</f>
        <v>NO</v>
      </c>
      <c r="AD607" s="762" t="s">
        <v>1714</v>
      </c>
      <c r="AE607" s="897" t="s">
        <v>1257</v>
      </c>
      <c r="AF607" s="173" t="s">
        <v>3865</v>
      </c>
      <c r="AG607" s="894"/>
      <c r="AH607" s="281" t="s">
        <v>559</v>
      </c>
      <c r="AI607" s="894"/>
      <c r="AJ607" s="305" t="s">
        <v>2845</v>
      </c>
      <c r="AK607" s="181" t="str">
        <f t="shared" ref="AK607:AK645" ca="1" si="139">IF(T607&gt;=$F$3,"EN EJECUCIÓN","TERMINO")</f>
        <v>EN EJECUCIÓN</v>
      </c>
      <c r="AL607" s="181" t="s">
        <v>582</v>
      </c>
      <c r="AM607" s="176" t="s">
        <v>391</v>
      </c>
      <c r="AN607" s="872" t="str">
        <f>IFERROR(VLOOKUP(E607,'liquidaciones '!$B$2:$C$1048576,2,0),"NO")</f>
        <v>NO</v>
      </c>
      <c r="AO607" s="972" t="str">
        <f>IFERROR(VLOOKUP(E607,'liquidaciones '!$B$2:$I$1048576,8,0),"")</f>
        <v/>
      </c>
      <c r="AP607" s="435"/>
      <c r="AQ607" s="435" t="s">
        <v>390</v>
      </c>
      <c r="AR607" s="1005" t="s">
        <v>3069</v>
      </c>
      <c r="AS607" s="435"/>
      <c r="AT607" s="995" t="s">
        <v>4216</v>
      </c>
    </row>
    <row r="608" spans="3:46" ht="56.25" x14ac:dyDescent="0.25">
      <c r="C608" s="893"/>
      <c r="D608" s="893"/>
      <c r="E608" s="894" t="s">
        <v>3874</v>
      </c>
      <c r="F608" s="443" t="s">
        <v>3600</v>
      </c>
      <c r="G608" s="919">
        <v>52733413</v>
      </c>
      <c r="H608" s="1033" t="s">
        <v>2507</v>
      </c>
      <c r="I608" s="93">
        <v>70452000</v>
      </c>
      <c r="J608" s="899" t="s">
        <v>3874</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1">
        <f t="shared" si="131"/>
        <v>43500</v>
      </c>
      <c r="U608" s="62">
        <f t="shared" si="132"/>
        <v>70452000</v>
      </c>
      <c r="V608" s="172">
        <f>VLOOKUP(E608,Modificaciones!$B$7:$AU$900,46,0)</f>
        <v>40314200</v>
      </c>
      <c r="W608" s="93">
        <f t="shared" si="133"/>
        <v>30137800</v>
      </c>
      <c r="X608" s="309" t="s">
        <v>1970</v>
      </c>
      <c r="Y608" s="878">
        <f t="shared" si="134"/>
        <v>0.57222222222222219</v>
      </c>
      <c r="Z608" s="42">
        <f t="shared" ca="1" si="135"/>
        <v>0.6785714285714286</v>
      </c>
      <c r="AA608" s="43">
        <f t="shared" ca="1" si="136"/>
        <v>0.10634920634920642</v>
      </c>
      <c r="AB608" s="202">
        <f t="shared" ca="1" si="137"/>
        <v>117</v>
      </c>
      <c r="AC608" s="44" t="str">
        <f t="shared" si="138"/>
        <v>NO</v>
      </c>
      <c r="AD608" s="762" t="s">
        <v>1714</v>
      </c>
      <c r="AE608" s="173" t="s">
        <v>1257</v>
      </c>
      <c r="AF608" s="281" t="s">
        <v>1971</v>
      </c>
      <c r="AG608" s="173" t="s">
        <v>1430</v>
      </c>
      <c r="AH608" s="281" t="s">
        <v>563</v>
      </c>
      <c r="AI608" s="305"/>
      <c r="AJ608" s="305" t="s">
        <v>3821</v>
      </c>
      <c r="AK608" s="181" t="str">
        <f t="shared" ca="1" si="139"/>
        <v>EN EJECUCIÓN</v>
      </c>
      <c r="AL608" s="310" t="s">
        <v>582</v>
      </c>
      <c r="AM608" s="435" t="s">
        <v>390</v>
      </c>
      <c r="AN608" s="872" t="str">
        <f>IFERROR(VLOOKUP(E608,'liquidaciones '!$B$2:$C$1048576,2,0),"NO")</f>
        <v>NO</v>
      </c>
      <c r="AO608" s="972" t="str">
        <f>IFERROR(VLOOKUP(E608,'liquidaciones '!$B$2:$I$1048576,8,0),"")</f>
        <v/>
      </c>
      <c r="AP608" s="435"/>
      <c r="AQ608" s="435"/>
      <c r="AR608" s="177" t="s">
        <v>3069</v>
      </c>
      <c r="AS608" s="435" t="s">
        <v>3843</v>
      </c>
      <c r="AT608" s="995" t="s">
        <v>560</v>
      </c>
    </row>
    <row r="609" spans="3:46" ht="33.75" x14ac:dyDescent="0.25">
      <c r="C609" s="893"/>
      <c r="D609" s="893"/>
      <c r="E609" s="894" t="s">
        <v>3875</v>
      </c>
      <c r="F609" s="443" t="s">
        <v>3876</v>
      </c>
      <c r="G609" s="919">
        <v>80734819</v>
      </c>
      <c r="H609" s="1037" t="s">
        <v>2925</v>
      </c>
      <c r="I609" s="93">
        <v>21286908</v>
      </c>
      <c r="J609" s="899" t="s">
        <v>3875</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1">
        <f t="shared" si="131"/>
        <v>43312</v>
      </c>
      <c r="U609" s="62">
        <f t="shared" si="132"/>
        <v>21286908</v>
      </c>
      <c r="V609" s="172">
        <f>VLOOKUP(E609,Modificaciones!$B$7:$AU$900,46,0)</f>
        <v>21286908</v>
      </c>
      <c r="W609" s="93">
        <f t="shared" si="133"/>
        <v>0</v>
      </c>
      <c r="X609" s="309" t="s">
        <v>1970</v>
      </c>
      <c r="Y609" s="878">
        <f t="shared" si="134"/>
        <v>1</v>
      </c>
      <c r="Z609" s="42">
        <f t="shared" ca="1" si="135"/>
        <v>1</v>
      </c>
      <c r="AA609" s="43">
        <f t="shared" ca="1" si="136"/>
        <v>0</v>
      </c>
      <c r="AB609" s="202" t="str">
        <f t="shared" ca="1" si="137"/>
        <v/>
      </c>
      <c r="AC609" s="44" t="str">
        <f t="shared" si="138"/>
        <v>SI</v>
      </c>
      <c r="AD609" s="762" t="s">
        <v>1714</v>
      </c>
      <c r="AE609" s="173" t="s">
        <v>1257</v>
      </c>
      <c r="AF609" s="173" t="s">
        <v>2182</v>
      </c>
      <c r="AG609" s="173" t="s">
        <v>1440</v>
      </c>
      <c r="AH609" s="281" t="s">
        <v>560</v>
      </c>
      <c r="AI609" s="305" t="s">
        <v>1510</v>
      </c>
      <c r="AJ609" s="305" t="s">
        <v>3821</v>
      </c>
      <c r="AK609" s="181" t="str">
        <f t="shared" ca="1" si="139"/>
        <v>TERMINO</v>
      </c>
      <c r="AL609" s="181" t="s">
        <v>582</v>
      </c>
      <c r="AM609" s="435" t="s">
        <v>391</v>
      </c>
      <c r="AN609" s="872" t="str">
        <f>IFERROR(VLOOKUP(E609,'liquidaciones '!$B$2:$C$1048576,2,0),"NO")</f>
        <v>NO</v>
      </c>
      <c r="AO609" s="972" t="str">
        <f>IFERROR(VLOOKUP(E609,'liquidaciones '!$B$2:$I$1048576,8,0),"")</f>
        <v/>
      </c>
      <c r="AP609" s="435"/>
      <c r="AQ609" s="177" t="str">
        <f ca="1">IF((TODAY()-T609&lt;900),"SI","NO")</f>
        <v>SI</v>
      </c>
      <c r="AR609" s="435" t="s">
        <v>3535</v>
      </c>
      <c r="AS609" s="435" t="s">
        <v>3804</v>
      </c>
      <c r="AT609" s="995" t="s">
        <v>560</v>
      </c>
    </row>
    <row r="610" spans="3:46" ht="45" x14ac:dyDescent="0.25">
      <c r="C610" s="893"/>
      <c r="D610" s="893"/>
      <c r="E610" s="894" t="s">
        <v>3880</v>
      </c>
      <c r="F610" s="443" t="s">
        <v>3953</v>
      </c>
      <c r="G610" s="919">
        <v>52961573</v>
      </c>
      <c r="H610" s="1037" t="s">
        <v>3881</v>
      </c>
      <c r="I610" s="93">
        <v>56100000</v>
      </c>
      <c r="J610" s="899" t="s">
        <v>3880</v>
      </c>
      <c r="K610" s="295">
        <v>2018</v>
      </c>
      <c r="L610" s="548">
        <v>43126</v>
      </c>
      <c r="M610" s="548">
        <v>43140</v>
      </c>
      <c r="N610" s="548">
        <v>43473</v>
      </c>
      <c r="O610" s="127">
        <f>COUNTA(Modificaciones!I596,Modificaciones!K596,Modificaciones!M596,Modificaciones!O596)</f>
        <v>2</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1">
        <f t="shared" si="131"/>
        <v>43473</v>
      </c>
      <c r="U610" s="62">
        <f t="shared" si="132"/>
        <v>56100000</v>
      </c>
      <c r="V610" s="172">
        <f>VLOOKUP(E610,Modificaciones!$B$7:$AU$900,46,0)</f>
        <v>26690000</v>
      </c>
      <c r="W610" s="93">
        <f t="shared" si="133"/>
        <v>29410000</v>
      </c>
      <c r="X610" s="309" t="s">
        <v>1970</v>
      </c>
      <c r="Y610" s="878">
        <f t="shared" si="134"/>
        <v>0.47575757575757577</v>
      </c>
      <c r="Z610" s="42">
        <f t="shared" ca="1" si="135"/>
        <v>0.72972972972972971</v>
      </c>
      <c r="AA610" s="43">
        <f t="shared" ca="1" si="136"/>
        <v>0.25397215397215395</v>
      </c>
      <c r="AB610" s="202">
        <f t="shared" ca="1" si="137"/>
        <v>90</v>
      </c>
      <c r="AC610" s="44" t="str">
        <f t="shared" si="138"/>
        <v>NO</v>
      </c>
      <c r="AD610" s="762" t="s">
        <v>1714</v>
      </c>
      <c r="AE610" s="173" t="s">
        <v>1257</v>
      </c>
      <c r="AF610" s="173" t="s">
        <v>3882</v>
      </c>
      <c r="AG610" s="894"/>
      <c r="AH610" s="580" t="s">
        <v>564</v>
      </c>
      <c r="AI610" s="894"/>
      <c r="AJ610" s="305" t="s">
        <v>3883</v>
      </c>
      <c r="AK610" s="181" t="str">
        <f t="shared" ca="1" si="139"/>
        <v>EN EJECUCIÓN</v>
      </c>
      <c r="AL610" s="181" t="s">
        <v>582</v>
      </c>
      <c r="AM610" s="435" t="s">
        <v>391</v>
      </c>
      <c r="AN610" s="872" t="str">
        <f>IFERROR(VLOOKUP(E610,'liquidaciones '!$B$2:$C$1048576,2,0),"NO")</f>
        <v>NO</v>
      </c>
      <c r="AO610" s="972" t="str">
        <f>IFERROR(VLOOKUP(E610,'liquidaciones '!$B$2:$I$1048576,8,0),"")</f>
        <v/>
      </c>
      <c r="AP610" s="435"/>
      <c r="AQ610" s="177" t="str">
        <f ca="1">IF((TODAY()-T610&lt;900),"SI","NO")</f>
        <v>SI</v>
      </c>
      <c r="AR610" s="1005" t="s">
        <v>4278</v>
      </c>
      <c r="AS610" s="435"/>
      <c r="AT610" s="995" t="s">
        <v>561</v>
      </c>
    </row>
    <row r="611" spans="3:46" ht="67.5" x14ac:dyDescent="0.25">
      <c r="C611" s="893"/>
      <c r="D611" s="893"/>
      <c r="E611" s="894" t="s">
        <v>3892</v>
      </c>
      <c r="F611" s="443" t="s">
        <v>3931</v>
      </c>
      <c r="G611" s="919">
        <v>52334577</v>
      </c>
      <c r="H611" s="1037" t="s">
        <v>3893</v>
      </c>
      <c r="I611" s="93">
        <v>49440000</v>
      </c>
      <c r="J611" s="899" t="s">
        <v>3892</v>
      </c>
      <c r="K611" s="295">
        <v>2018</v>
      </c>
      <c r="L611" s="548">
        <v>43126</v>
      </c>
      <c r="M611" s="900">
        <v>43196</v>
      </c>
      <c r="N611" s="900">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1">
        <f t="shared" si="131"/>
        <v>43560</v>
      </c>
      <c r="U611" s="62">
        <f t="shared" si="132"/>
        <v>49440000</v>
      </c>
      <c r="V611" s="172">
        <f>VLOOKUP(E611,Modificaciones!$B$7:$AU$900,46,0)</f>
        <v>24033333</v>
      </c>
      <c r="W611" s="93">
        <f t="shared" si="133"/>
        <v>25406667</v>
      </c>
      <c r="X611" s="309" t="s">
        <v>1970</v>
      </c>
      <c r="Y611" s="878">
        <f t="shared" si="134"/>
        <v>0.48611110436893201</v>
      </c>
      <c r="Z611" s="42">
        <f t="shared" ca="1" si="135"/>
        <v>0.51373626373626369</v>
      </c>
      <c r="AA611" s="43">
        <f t="shared" ca="1" si="136"/>
        <v>2.7625159367331675E-2</v>
      </c>
      <c r="AB611" s="202">
        <f t="shared" ca="1" si="137"/>
        <v>177</v>
      </c>
      <c r="AC611" s="44" t="str">
        <f t="shared" si="138"/>
        <v>NO</v>
      </c>
      <c r="AD611" s="762" t="s">
        <v>1714</v>
      </c>
      <c r="AE611" s="173" t="s">
        <v>1257</v>
      </c>
      <c r="AF611" s="173" t="s">
        <v>3882</v>
      </c>
      <c r="AG611" s="894"/>
      <c r="AH611" s="580" t="s">
        <v>564</v>
      </c>
      <c r="AI611" s="894"/>
      <c r="AJ611" s="305" t="s">
        <v>3824</v>
      </c>
      <c r="AK611" s="181" t="str">
        <f t="shared" ca="1" si="139"/>
        <v>EN EJECUCIÓN</v>
      </c>
      <c r="AL611" s="181" t="s">
        <v>582</v>
      </c>
      <c r="AM611" s="435" t="s">
        <v>391</v>
      </c>
      <c r="AN611" s="872" t="str">
        <f>IFERROR(VLOOKUP(E611,'liquidaciones '!$B$2:$C$1048576,2,0),"NO")</f>
        <v>NO</v>
      </c>
      <c r="AO611" s="972" t="str">
        <f>IFERROR(VLOOKUP(E611,'liquidaciones '!$B$2:$I$1048576,8,0),"")</f>
        <v/>
      </c>
      <c r="AP611" s="435"/>
      <c r="AQ611" s="435" t="s">
        <v>390</v>
      </c>
      <c r="AR611" s="1006" t="s">
        <v>4278</v>
      </c>
      <c r="AS611" s="435"/>
      <c r="AT611" s="995" t="s">
        <v>3949</v>
      </c>
    </row>
    <row r="612" spans="3:46" ht="30" x14ac:dyDescent="0.25">
      <c r="C612" s="893"/>
      <c r="D612" s="893"/>
      <c r="E612" s="894" t="s">
        <v>3898</v>
      </c>
      <c r="F612" s="443" t="s">
        <v>2366</v>
      </c>
      <c r="G612" s="919">
        <v>800103052</v>
      </c>
      <c r="H612" s="1037" t="s">
        <v>3899</v>
      </c>
      <c r="I612" s="93">
        <v>203714167</v>
      </c>
      <c r="J612" s="899" t="s">
        <v>3902</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1">
        <f t="shared" si="131"/>
        <v>43465</v>
      </c>
      <c r="U612" s="62">
        <f t="shared" si="132"/>
        <v>203714167</v>
      </c>
      <c r="V612" s="172">
        <f>VLOOKUP(E612,Modificaciones!$B$7:$AU$900,46,0)</f>
        <v>203714167</v>
      </c>
      <c r="W612" s="93">
        <f t="shared" si="133"/>
        <v>0</v>
      </c>
      <c r="X612" s="309"/>
      <c r="Y612" s="878">
        <f t="shared" si="134"/>
        <v>1</v>
      </c>
      <c r="Z612" s="42">
        <f t="shared" ca="1" si="135"/>
        <v>0.75811209439528027</v>
      </c>
      <c r="AA612" s="43">
        <f t="shared" ca="1" si="136"/>
        <v>-0.24188790560471973</v>
      </c>
      <c r="AB612" s="202">
        <f t="shared" ca="1" si="137"/>
        <v>82</v>
      </c>
      <c r="AC612" s="44" t="str">
        <f t="shared" si="138"/>
        <v>SI</v>
      </c>
      <c r="AD612" s="443" t="s">
        <v>1713</v>
      </c>
      <c r="AE612" s="897" t="s">
        <v>1258</v>
      </c>
      <c r="AF612" s="897" t="s">
        <v>3900</v>
      </c>
      <c r="AG612" s="173" t="s">
        <v>1440</v>
      </c>
      <c r="AH612" s="281" t="s">
        <v>560</v>
      </c>
      <c r="AI612" s="305" t="s">
        <v>1510</v>
      </c>
      <c r="AJ612" s="305" t="s">
        <v>3901</v>
      </c>
      <c r="AK612" s="181" t="str">
        <f t="shared" ca="1" si="139"/>
        <v>EN EJECUCIÓN</v>
      </c>
      <c r="AL612" s="310" t="s">
        <v>2733</v>
      </c>
      <c r="AM612" s="435" t="s">
        <v>391</v>
      </c>
      <c r="AN612" s="872" t="str">
        <f>IFERROR(VLOOKUP(E612,'liquidaciones '!$B$2:$C$1048576,2,0),"NO")</f>
        <v>NO</v>
      </c>
      <c r="AO612" s="972" t="str">
        <f>IFERROR(VLOOKUP(E612,'liquidaciones '!$B$2:$I$1048576,8,0),"")</f>
        <v/>
      </c>
      <c r="AP612" s="435"/>
      <c r="AQ612" s="435" t="s">
        <v>390</v>
      </c>
      <c r="AR612" s="1005" t="s">
        <v>4257</v>
      </c>
      <c r="AS612" s="435" t="s">
        <v>3804</v>
      </c>
      <c r="AT612" s="995" t="s">
        <v>560</v>
      </c>
    </row>
    <row r="613" spans="3:46" ht="22.5" x14ac:dyDescent="0.25">
      <c r="C613" s="893">
        <v>200</v>
      </c>
      <c r="D613" s="893"/>
      <c r="E613" s="894" t="s">
        <v>3908</v>
      </c>
      <c r="F613" s="890" t="s">
        <v>2782</v>
      </c>
      <c r="G613" s="934" t="s">
        <v>2783</v>
      </c>
      <c r="H613" s="1033" t="s">
        <v>2784</v>
      </c>
      <c r="I613" s="93">
        <v>426827</v>
      </c>
      <c r="J613" s="899" t="s">
        <v>3908</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1">
        <f t="shared" si="131"/>
        <v>43584</v>
      </c>
      <c r="U613" s="62">
        <f t="shared" si="132"/>
        <v>426827</v>
      </c>
      <c r="V613" s="172">
        <f>VLOOKUP(E613,Modificaciones!$B$7:$AU$900,46,0)</f>
        <v>426827</v>
      </c>
      <c r="W613" s="93">
        <f t="shared" si="133"/>
        <v>0</v>
      </c>
      <c r="X613" s="309" t="s">
        <v>2741</v>
      </c>
      <c r="Y613" s="878">
        <f t="shared" si="134"/>
        <v>1</v>
      </c>
      <c r="Z613" s="42">
        <f t="shared" ca="1" si="135"/>
        <v>0.44780219780219782</v>
      </c>
      <c r="AA613" s="43">
        <f t="shared" ca="1" si="136"/>
        <v>-0.55219780219780223</v>
      </c>
      <c r="AB613" s="202">
        <f t="shared" ca="1" si="137"/>
        <v>201</v>
      </c>
      <c r="AC613" s="44" t="str">
        <f t="shared" si="138"/>
        <v>SI</v>
      </c>
      <c r="AD613" s="762" t="s">
        <v>1713</v>
      </c>
      <c r="AE613" s="173" t="s">
        <v>1258</v>
      </c>
      <c r="AF613" s="301" t="s">
        <v>1472</v>
      </c>
      <c r="AG613" s="173" t="s">
        <v>1440</v>
      </c>
      <c r="AH613" s="281" t="s">
        <v>560</v>
      </c>
      <c r="AI613" s="174" t="s">
        <v>1510</v>
      </c>
      <c r="AJ613" s="305" t="s">
        <v>3909</v>
      </c>
      <c r="AK613" s="181" t="str">
        <f t="shared" ca="1" si="139"/>
        <v>EN EJECUCIÓN</v>
      </c>
      <c r="AL613" s="310" t="s">
        <v>582</v>
      </c>
      <c r="AM613" s="176" t="s">
        <v>390</v>
      </c>
      <c r="AN613" s="872" t="str">
        <f>IFERROR(VLOOKUP(E613,'liquidaciones '!$B$2:$C$1048576,2,0),"NO")</f>
        <v>NO</v>
      </c>
      <c r="AO613" s="972" t="str">
        <f>IFERROR(VLOOKUP(E613,'liquidaciones '!$B$2:$I$1048576,8,0),"")</f>
        <v/>
      </c>
      <c r="AP613" s="435"/>
      <c r="AQ613" s="177" t="s">
        <v>390</v>
      </c>
      <c r="AR613" s="1005" t="s">
        <v>4257</v>
      </c>
      <c r="AS613" s="435"/>
      <c r="AT613" s="995" t="s">
        <v>3968</v>
      </c>
    </row>
    <row r="614" spans="3:46" ht="30" x14ac:dyDescent="0.25">
      <c r="C614" s="893">
        <v>287</v>
      </c>
      <c r="D614" s="893"/>
      <c r="E614" s="894" t="s">
        <v>3910</v>
      </c>
      <c r="F614" s="443" t="s">
        <v>3911</v>
      </c>
      <c r="G614" s="919">
        <v>52713367</v>
      </c>
      <c r="H614" s="1037" t="s">
        <v>3912</v>
      </c>
      <c r="I614" s="93">
        <v>11634980</v>
      </c>
      <c r="J614" s="899" t="s">
        <v>3913</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1">
        <f t="shared" si="131"/>
        <v>43254</v>
      </c>
      <c r="U614" s="62">
        <f t="shared" si="132"/>
        <v>11634980</v>
      </c>
      <c r="V614" s="172">
        <f>VLOOKUP(E614,Modificaciones!$B$7:$AU$900,46,0)</f>
        <v>11618540</v>
      </c>
      <c r="W614" s="93">
        <f t="shared" si="133"/>
        <v>16440</v>
      </c>
      <c r="X614" s="309" t="s">
        <v>2803</v>
      </c>
      <c r="Y614" s="878">
        <f t="shared" si="134"/>
        <v>0.99858701948778594</v>
      </c>
      <c r="Z614" s="42">
        <f t="shared" ca="1" si="135"/>
        <v>1</v>
      </c>
      <c r="AA614" s="43">
        <f t="shared" ca="1" si="136"/>
        <v>1.4129805122140571E-3</v>
      </c>
      <c r="AB614" s="202" t="str">
        <f t="shared" ca="1" si="137"/>
        <v/>
      </c>
      <c r="AC614" s="44" t="str">
        <f t="shared" si="138"/>
        <v>NO</v>
      </c>
      <c r="AD614" s="762" t="s">
        <v>1715</v>
      </c>
      <c r="AE614" s="173" t="s">
        <v>1257</v>
      </c>
      <c r="AF614" s="281" t="s">
        <v>1467</v>
      </c>
      <c r="AG614" s="173"/>
      <c r="AH614" s="281"/>
      <c r="AI614" s="305"/>
      <c r="AJ614" s="305" t="s">
        <v>3901</v>
      </c>
      <c r="AK614" s="181" t="str">
        <f t="shared" ca="1" si="139"/>
        <v>TERMINO</v>
      </c>
      <c r="AL614" s="310" t="s">
        <v>576</v>
      </c>
      <c r="AM614" s="176" t="s">
        <v>391</v>
      </c>
      <c r="AN614" s="872" t="str">
        <f>IFERROR(VLOOKUP(E614,'liquidaciones '!$B$2:$C$1048576,2,0),"NO")</f>
        <v>NO</v>
      </c>
      <c r="AO614" s="972" t="str">
        <f>IFERROR(VLOOKUP(E614,'liquidaciones '!$B$2:$I$1048576,8,0),"")</f>
        <v/>
      </c>
      <c r="AP614" s="435"/>
      <c r="AQ614" s="435" t="s">
        <v>390</v>
      </c>
      <c r="AR614" s="1005" t="s">
        <v>1511</v>
      </c>
      <c r="AS614" s="435" t="s">
        <v>3951</v>
      </c>
      <c r="AT614" s="995" t="s">
        <v>560</v>
      </c>
    </row>
    <row r="615" spans="3:46" ht="179.25" customHeight="1" x14ac:dyDescent="0.25">
      <c r="C615" s="893">
        <v>5</v>
      </c>
      <c r="D615" s="893"/>
      <c r="E615" s="894" t="s">
        <v>3914</v>
      </c>
      <c r="F615" s="443" t="s">
        <v>2157</v>
      </c>
      <c r="G615" s="933" t="s">
        <v>3001</v>
      </c>
      <c r="H615" s="1035" t="s">
        <v>2880</v>
      </c>
      <c r="I615" s="93">
        <v>9705000</v>
      </c>
      <c r="J615" s="899" t="s">
        <v>3915</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1">
        <f t="shared" si="131"/>
        <v>43565</v>
      </c>
      <c r="U615" s="62">
        <f t="shared" si="132"/>
        <v>9705000</v>
      </c>
      <c r="V615" s="172">
        <f>VLOOKUP(E615,Modificaciones!$B$7:$AU$900,46,0)</f>
        <v>700000</v>
      </c>
      <c r="W615" s="93">
        <f t="shared" si="133"/>
        <v>9005000</v>
      </c>
      <c r="X615" s="315" t="s">
        <v>4234</v>
      </c>
      <c r="Y615" s="878">
        <f t="shared" si="134"/>
        <v>7.2127769191138585E-2</v>
      </c>
      <c r="Z615" s="42">
        <f t="shared" ca="1" si="135"/>
        <v>0.5</v>
      </c>
      <c r="AA615" s="43">
        <f t="shared" ca="1" si="136"/>
        <v>0.42787223080886139</v>
      </c>
      <c r="AB615" s="202">
        <f t="shared" ca="1" si="137"/>
        <v>182</v>
      </c>
      <c r="AC615" s="44" t="str">
        <f t="shared" si="138"/>
        <v>NO</v>
      </c>
      <c r="AD615" s="762" t="s">
        <v>2516</v>
      </c>
      <c r="AE615" s="173" t="s">
        <v>1257</v>
      </c>
      <c r="AF615" s="301" t="s">
        <v>1145</v>
      </c>
      <c r="AG615" s="173" t="s">
        <v>1443</v>
      </c>
      <c r="AH615" s="281" t="s">
        <v>560</v>
      </c>
      <c r="AI615" s="174" t="s">
        <v>1381</v>
      </c>
      <c r="AJ615" s="305" t="s">
        <v>3901</v>
      </c>
      <c r="AK615" s="181" t="str">
        <f t="shared" ca="1" si="139"/>
        <v>EN EJECUCIÓN</v>
      </c>
      <c r="AL615" s="310" t="s">
        <v>576</v>
      </c>
      <c r="AM615" s="435" t="s">
        <v>390</v>
      </c>
      <c r="AN615" s="872" t="str">
        <f>IFERROR(VLOOKUP(E615,'liquidaciones '!$B$2:$C$1048576,2,0),"NO")</f>
        <v>NO</v>
      </c>
      <c r="AO615" s="972" t="str">
        <f>IFERROR(VLOOKUP(E615,'liquidaciones '!$B$2:$I$1048576,8,0),"")</f>
        <v/>
      </c>
      <c r="AP615" s="435"/>
      <c r="AQ615" s="435" t="s">
        <v>390</v>
      </c>
      <c r="AR615" s="435" t="s">
        <v>4301</v>
      </c>
      <c r="AS615" s="435" t="s">
        <v>3841</v>
      </c>
      <c r="AT615" s="995" t="s">
        <v>3916</v>
      </c>
    </row>
    <row r="616" spans="3:46" ht="30" x14ac:dyDescent="0.25">
      <c r="C616" s="893"/>
      <c r="D616" s="893"/>
      <c r="E616" s="894" t="s">
        <v>3920</v>
      </c>
      <c r="F616" s="443" t="s">
        <v>3921</v>
      </c>
      <c r="G616" s="919" t="s">
        <v>3922</v>
      </c>
      <c r="H616" s="1037" t="s">
        <v>3923</v>
      </c>
      <c r="I616" s="93">
        <v>18899730</v>
      </c>
      <c r="J616" s="899" t="s">
        <v>3925</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1">
        <f t="shared" si="131"/>
        <v>43193</v>
      </c>
      <c r="U616" s="62">
        <f t="shared" si="132"/>
        <v>18899730</v>
      </c>
      <c r="V616" s="172">
        <f>VLOOKUP(E616,Modificaciones!$B$7:$AU$900,46,0)</f>
        <v>18899730</v>
      </c>
      <c r="W616" s="93">
        <f t="shared" si="133"/>
        <v>0</v>
      </c>
      <c r="X616" s="309" t="s">
        <v>2741</v>
      </c>
      <c r="Y616" s="878">
        <f t="shared" si="134"/>
        <v>1</v>
      </c>
      <c r="Z616" s="42">
        <f t="shared" ca="1" si="135"/>
        <v>1</v>
      </c>
      <c r="AA616" s="43">
        <f t="shared" ca="1" si="136"/>
        <v>0</v>
      </c>
      <c r="AB616" s="202" t="str">
        <f t="shared" ca="1" si="137"/>
        <v/>
      </c>
      <c r="AC616" s="44" t="str">
        <f t="shared" si="138"/>
        <v>SI</v>
      </c>
      <c r="AD616" s="894"/>
      <c r="AE616" s="897"/>
      <c r="AF616" s="281" t="s">
        <v>2755</v>
      </c>
      <c r="AG616" s="894"/>
      <c r="AH616" s="894"/>
      <c r="AI616" s="894"/>
      <c r="AJ616" s="305" t="s">
        <v>3901</v>
      </c>
      <c r="AK616" s="181" t="str">
        <f t="shared" ca="1" si="139"/>
        <v>TERMINO</v>
      </c>
      <c r="AL616" s="310" t="s">
        <v>2733</v>
      </c>
      <c r="AM616" s="435"/>
      <c r="AN616" s="872" t="str">
        <f>IFERROR(VLOOKUP(E616,'liquidaciones '!$B$2:$C$1048576,2,0),"NO")</f>
        <v>EN TRÁMITE</v>
      </c>
      <c r="AO616" s="972">
        <f>IFERROR(VLOOKUP(E616,'liquidaciones '!$B$2:$I$1048576,8,0),"")</f>
        <v>0</v>
      </c>
      <c r="AP616" s="435"/>
      <c r="AQ616" s="435" t="s">
        <v>390</v>
      </c>
      <c r="AR616" s="1005" t="s">
        <v>3535</v>
      </c>
      <c r="AS616" s="435" t="s">
        <v>3804</v>
      </c>
      <c r="AT616" s="995" t="s">
        <v>560</v>
      </c>
    </row>
    <row r="617" spans="3:46" ht="45" x14ac:dyDescent="0.25">
      <c r="C617" s="893">
        <v>138</v>
      </c>
      <c r="D617" s="893"/>
      <c r="E617" s="894" t="s">
        <v>3946</v>
      </c>
      <c r="F617" s="443" t="s">
        <v>3947</v>
      </c>
      <c r="G617" s="919">
        <v>800000457</v>
      </c>
      <c r="H617" s="1035" t="s">
        <v>3948</v>
      </c>
      <c r="I617" s="93">
        <v>490000000</v>
      </c>
      <c r="J617" s="899" t="s">
        <v>3950</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1">
        <f t="shared" si="131"/>
        <v>43577</v>
      </c>
      <c r="U617" s="62">
        <f t="shared" si="132"/>
        <v>490000000</v>
      </c>
      <c r="V617" s="172">
        <f>VLOOKUP(E617,Modificaciones!$B$7:$AU$900,46,0)</f>
        <v>197922875</v>
      </c>
      <c r="W617" s="93">
        <f t="shared" si="133"/>
        <v>292077125</v>
      </c>
      <c r="X617" s="309" t="s">
        <v>2852</v>
      </c>
      <c r="Y617" s="878">
        <f t="shared" si="134"/>
        <v>0.40392423469387756</v>
      </c>
      <c r="Z617" s="42">
        <f t="shared" ca="1" si="135"/>
        <v>0.46703296703296704</v>
      </c>
      <c r="AA617" s="43">
        <f t="shared" ca="1" si="136"/>
        <v>6.3108732339089479E-2</v>
      </c>
      <c r="AB617" s="202">
        <f t="shared" ca="1" si="137"/>
        <v>194</v>
      </c>
      <c r="AC617" s="44" t="str">
        <f t="shared" si="138"/>
        <v>NO</v>
      </c>
      <c r="AD617" s="894"/>
      <c r="AE617" s="173" t="s">
        <v>1257</v>
      </c>
      <c r="AF617" s="281" t="s">
        <v>1534</v>
      </c>
      <c r="AG617" s="173" t="s">
        <v>1431</v>
      </c>
      <c r="AH617" s="281" t="s">
        <v>564</v>
      </c>
      <c r="AI617" s="305"/>
      <c r="AJ617" s="305" t="s">
        <v>3824</v>
      </c>
      <c r="AK617" s="181" t="str">
        <f t="shared" ca="1" si="139"/>
        <v>EN EJECUCIÓN</v>
      </c>
      <c r="AL617" s="310" t="s">
        <v>575</v>
      </c>
      <c r="AM617" s="435" t="s">
        <v>390</v>
      </c>
      <c r="AN617" s="872" t="str">
        <f>IFERROR(VLOOKUP(E617,'liquidaciones '!$B$2:$C$1048576,2,0),"NO")</f>
        <v>NO</v>
      </c>
      <c r="AO617" s="972" t="str">
        <f>IFERROR(VLOOKUP(E617,'liquidaciones '!$B$2:$I$1048576,8,0),"")</f>
        <v/>
      </c>
      <c r="AP617" s="435"/>
      <c r="AQ617" s="177" t="s">
        <v>390</v>
      </c>
      <c r="AR617" s="177" t="s">
        <v>4278</v>
      </c>
      <c r="AS617" s="435"/>
      <c r="AT617" s="995" t="s">
        <v>3949</v>
      </c>
    </row>
    <row r="618" spans="3:46" ht="56.25" x14ac:dyDescent="0.25">
      <c r="C618" s="893"/>
      <c r="D618" s="893"/>
      <c r="E618" s="894" t="s">
        <v>3955</v>
      </c>
      <c r="F618" s="443" t="s">
        <v>2847</v>
      </c>
      <c r="G618" s="919" t="s">
        <v>3956</v>
      </c>
      <c r="H618" s="1037" t="s">
        <v>3957</v>
      </c>
      <c r="I618" s="93">
        <v>69997918</v>
      </c>
      <c r="J618" s="899" t="s">
        <v>3959</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1">
        <f t="shared" si="131"/>
        <v>43578</v>
      </c>
      <c r="U618" s="62">
        <f t="shared" si="132"/>
        <v>69997918</v>
      </c>
      <c r="V618" s="172">
        <f>VLOOKUP(E618,Modificaciones!$B$7:$AU$900,46,0)</f>
        <v>69997918</v>
      </c>
      <c r="W618" s="93">
        <f t="shared" si="133"/>
        <v>0</v>
      </c>
      <c r="X618" s="313" t="s">
        <v>3958</v>
      </c>
      <c r="Y618" s="878">
        <f t="shared" si="134"/>
        <v>1</v>
      </c>
      <c r="Z618" s="42">
        <f t="shared" ca="1" si="135"/>
        <v>0.4642857142857143</v>
      </c>
      <c r="AA618" s="43">
        <f t="shared" ca="1" si="136"/>
        <v>-0.5357142857142857</v>
      </c>
      <c r="AB618" s="202">
        <f t="shared" ca="1" si="137"/>
        <v>195</v>
      </c>
      <c r="AC618" s="44" t="str">
        <f t="shared" si="138"/>
        <v>SI</v>
      </c>
      <c r="AD618" s="443" t="s">
        <v>1713</v>
      </c>
      <c r="AE618" s="173" t="s">
        <v>1258</v>
      </c>
      <c r="AF618" s="281" t="s">
        <v>1468</v>
      </c>
      <c r="AG618" s="173" t="s">
        <v>1440</v>
      </c>
      <c r="AH618" s="281" t="s">
        <v>560</v>
      </c>
      <c r="AI618" s="305" t="s">
        <v>1510</v>
      </c>
      <c r="AJ618" s="305" t="s">
        <v>3901</v>
      </c>
      <c r="AK618" s="181" t="str">
        <f t="shared" ca="1" si="139"/>
        <v>EN EJECUCIÓN</v>
      </c>
      <c r="AL618" s="310" t="s">
        <v>576</v>
      </c>
      <c r="AM618" s="176" t="s">
        <v>390</v>
      </c>
      <c r="AN618" s="872" t="str">
        <f>IFERROR(VLOOKUP(E618,'liquidaciones '!$B$2:$C$1048576,2,0),"NO")</f>
        <v>NO</v>
      </c>
      <c r="AO618" s="972" t="str">
        <f>IFERROR(VLOOKUP(E618,'liquidaciones '!$B$2:$I$1048576,8,0),"")</f>
        <v/>
      </c>
      <c r="AP618" s="435"/>
      <c r="AQ618" s="177" t="s">
        <v>390</v>
      </c>
      <c r="AR618" s="435" t="s">
        <v>4257</v>
      </c>
      <c r="AS618" s="435" t="s">
        <v>3804</v>
      </c>
      <c r="AT618" s="995" t="s">
        <v>3916</v>
      </c>
    </row>
    <row r="619" spans="3:46" ht="30" x14ac:dyDescent="0.25">
      <c r="C619" s="440">
        <v>176</v>
      </c>
      <c r="D619" s="893"/>
      <c r="E619" s="894" t="s">
        <v>3961</v>
      </c>
      <c r="F619" s="443" t="s">
        <v>3960</v>
      </c>
      <c r="G619" s="919">
        <v>830073623</v>
      </c>
      <c r="H619" s="1037" t="s">
        <v>2998</v>
      </c>
      <c r="I619" s="93">
        <v>26614000</v>
      </c>
      <c r="J619" s="899" t="s">
        <v>3962</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1">
        <f t="shared" si="131"/>
        <v>43287</v>
      </c>
      <c r="U619" s="62">
        <f t="shared" si="132"/>
        <v>26614000</v>
      </c>
      <c r="V619" s="172">
        <f>VLOOKUP(E619,Modificaciones!$B$7:$AU$900,46,0)</f>
        <v>26614000</v>
      </c>
      <c r="W619" s="93">
        <f t="shared" si="133"/>
        <v>0</v>
      </c>
      <c r="X619" s="309" t="s">
        <v>1823</v>
      </c>
      <c r="Y619" s="878">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3901</v>
      </c>
      <c r="AK619" s="181" t="str">
        <f t="shared" ca="1" si="139"/>
        <v>TERMINO</v>
      </c>
      <c r="AL619" s="310" t="s">
        <v>576</v>
      </c>
      <c r="AM619" s="176" t="s">
        <v>391</v>
      </c>
      <c r="AN619" s="872" t="str">
        <f>IFERROR(VLOOKUP(E619,'liquidaciones '!$B$2:$C$1048576,2,0),"NO")</f>
        <v>NO</v>
      </c>
      <c r="AO619" s="972" t="str">
        <f>IFERROR(VLOOKUP(E619,'liquidaciones '!$B$2:$I$1048576,8,0),"")</f>
        <v/>
      </c>
      <c r="AP619" s="435"/>
      <c r="AQ619" s="435" t="s">
        <v>390</v>
      </c>
      <c r="AR619" s="435" t="s">
        <v>3535</v>
      </c>
      <c r="AS619" s="435" t="s">
        <v>3804</v>
      </c>
      <c r="AT619" s="995" t="s">
        <v>560</v>
      </c>
    </row>
    <row r="620" spans="3:46" ht="30" x14ac:dyDescent="0.25">
      <c r="C620" s="922">
        <v>30</v>
      </c>
      <c r="D620" s="893"/>
      <c r="E620" s="894" t="s">
        <v>3963</v>
      </c>
      <c r="F620" s="443" t="s">
        <v>3964</v>
      </c>
      <c r="G620" s="919">
        <v>900693270</v>
      </c>
      <c r="H620" s="1037" t="s">
        <v>3965</v>
      </c>
      <c r="I620" s="93">
        <v>35650000</v>
      </c>
      <c r="J620" s="899" t="s">
        <v>3967</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1">
        <f t="shared" si="131"/>
        <v>43581</v>
      </c>
      <c r="U620" s="62">
        <f t="shared" si="132"/>
        <v>35650000</v>
      </c>
      <c r="V620" s="172">
        <f>VLOOKUP(E620,Modificaciones!$B$7:$AU$900,46,0)</f>
        <v>803361</v>
      </c>
      <c r="W620" s="93">
        <f t="shared" si="133"/>
        <v>34846639</v>
      </c>
      <c r="X620" s="309" t="s">
        <v>1095</v>
      </c>
      <c r="Y620" s="878">
        <f t="shared" si="134"/>
        <v>2.2534670406732116E-2</v>
      </c>
      <c r="Z620" s="42">
        <f t="shared" ca="1" si="135"/>
        <v>0.45604395604395603</v>
      </c>
      <c r="AA620" s="43">
        <f t="shared" ca="1" si="136"/>
        <v>0.43350928563722391</v>
      </c>
      <c r="AB620" s="202">
        <f t="shared" ca="1" si="137"/>
        <v>198</v>
      </c>
      <c r="AC620" s="44" t="str">
        <f t="shared" si="138"/>
        <v>NO</v>
      </c>
      <c r="AD620" s="762" t="s">
        <v>1713</v>
      </c>
      <c r="AE620" s="173" t="s">
        <v>1257</v>
      </c>
      <c r="AF620" s="281" t="s">
        <v>1127</v>
      </c>
      <c r="AG620" s="173" t="s">
        <v>1443</v>
      </c>
      <c r="AH620" s="281" t="s">
        <v>560</v>
      </c>
      <c r="AI620" s="174" t="s">
        <v>1320</v>
      </c>
      <c r="AJ620" s="305" t="s">
        <v>2845</v>
      </c>
      <c r="AK620" s="181" t="str">
        <f t="shared" ca="1" si="139"/>
        <v>EN EJECUCIÓN</v>
      </c>
      <c r="AL620" s="310" t="s">
        <v>576</v>
      </c>
      <c r="AM620" s="176" t="s">
        <v>390</v>
      </c>
      <c r="AN620" s="872" t="str">
        <f>IFERROR(VLOOKUP(E620,'liquidaciones '!$B$2:$C$1048576,2,0),"NO")</f>
        <v>NO</v>
      </c>
      <c r="AO620" s="972" t="str">
        <f>IFERROR(VLOOKUP(E620,'liquidaciones '!$B$2:$I$1048576,8,0),"")</f>
        <v/>
      </c>
      <c r="AP620" s="435"/>
      <c r="AQ620" s="177" t="s">
        <v>3966</v>
      </c>
      <c r="AR620" s="435" t="s">
        <v>1511</v>
      </c>
      <c r="AS620" s="435" t="s">
        <v>3806</v>
      </c>
      <c r="AT620" s="995" t="s">
        <v>560</v>
      </c>
    </row>
    <row r="621" spans="3:46" ht="67.5" x14ac:dyDescent="0.25">
      <c r="C621" s="893"/>
      <c r="D621" s="893"/>
      <c r="E621" s="894" t="s">
        <v>3972</v>
      </c>
      <c r="F621" s="443" t="s">
        <v>3973</v>
      </c>
      <c r="G621" s="919">
        <v>900424713</v>
      </c>
      <c r="H621" s="1037" t="s">
        <v>3975</v>
      </c>
      <c r="I621" s="93">
        <v>55000000</v>
      </c>
      <c r="J621" s="899" t="s">
        <v>3974</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1">
        <f t="shared" si="131"/>
        <v>43322</v>
      </c>
      <c r="U621" s="62">
        <f t="shared" si="132"/>
        <v>55000000</v>
      </c>
      <c r="V621" s="172">
        <f>VLOOKUP(E621,Modificaciones!$B$7:$AU$900,46,0)</f>
        <v>0</v>
      </c>
      <c r="W621" s="93">
        <f t="shared" si="133"/>
        <v>55000000</v>
      </c>
      <c r="X621" s="309" t="s">
        <v>1095</v>
      </c>
      <c r="Y621" s="878">
        <f t="shared" si="134"/>
        <v>0</v>
      </c>
      <c r="Z621" s="42">
        <f t="shared" ca="1" si="135"/>
        <v>1</v>
      </c>
      <c r="AA621" s="43">
        <f t="shared" ca="1" si="136"/>
        <v>1</v>
      </c>
      <c r="AB621" s="202" t="str">
        <f t="shared" ca="1" si="137"/>
        <v/>
      </c>
      <c r="AC621" s="44" t="str">
        <f t="shared" si="138"/>
        <v>NO</v>
      </c>
      <c r="AD621" s="762" t="s">
        <v>1713</v>
      </c>
      <c r="AE621" s="173" t="s">
        <v>1257</v>
      </c>
      <c r="AF621" s="281" t="s">
        <v>1302</v>
      </c>
      <c r="AG621" s="173" t="s">
        <v>1436</v>
      </c>
      <c r="AH621" s="281" t="s">
        <v>560</v>
      </c>
      <c r="AI621" s="174" t="s">
        <v>1387</v>
      </c>
      <c r="AJ621" s="305" t="s">
        <v>3901</v>
      </c>
      <c r="AK621" s="181" t="str">
        <f t="shared" ca="1" si="139"/>
        <v>TERMINO</v>
      </c>
      <c r="AL621" s="310" t="s">
        <v>574</v>
      </c>
      <c r="AM621" s="176" t="s">
        <v>390</v>
      </c>
      <c r="AN621" s="872" t="str">
        <f>IFERROR(VLOOKUP(E621,'liquidaciones '!$B$2:$C$1048576,2,0),"NO")</f>
        <v>NO</v>
      </c>
      <c r="AO621" s="972" t="str">
        <f>IFERROR(VLOOKUP(E621,'liquidaciones '!$B$2:$I$1048576,8,0),"")</f>
        <v/>
      </c>
      <c r="AP621" s="435"/>
      <c r="AQ621" s="177" t="s">
        <v>390</v>
      </c>
      <c r="AR621" s="435" t="s">
        <v>3069</v>
      </c>
      <c r="AS621" s="435" t="s">
        <v>3805</v>
      </c>
      <c r="AT621" s="995" t="s">
        <v>3916</v>
      </c>
    </row>
    <row r="622" spans="3:46" ht="30" x14ac:dyDescent="0.25">
      <c r="C622" s="893"/>
      <c r="D622" s="893"/>
      <c r="E622" s="894" t="s">
        <v>3980</v>
      </c>
      <c r="F622" s="443" t="s">
        <v>3981</v>
      </c>
      <c r="G622" s="919">
        <v>900011339</v>
      </c>
      <c r="H622" s="1037" t="s">
        <v>3982</v>
      </c>
      <c r="I622" s="93">
        <v>19027386</v>
      </c>
      <c r="J622" s="899" t="s">
        <v>3989</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1">
        <f t="shared" si="131"/>
        <v>43322</v>
      </c>
      <c r="U622" s="62">
        <f t="shared" si="132"/>
        <v>19027386</v>
      </c>
      <c r="V622" s="172">
        <f>VLOOKUP(E622,Modificaciones!$B$7:$AU$900,46,0)</f>
        <v>19027386</v>
      </c>
      <c r="W622" s="93">
        <f t="shared" si="133"/>
        <v>0</v>
      </c>
      <c r="X622" s="309" t="s">
        <v>2732</v>
      </c>
      <c r="Y622" s="878">
        <f t="shared" si="134"/>
        <v>1</v>
      </c>
      <c r="Z622" s="42">
        <f t="shared" ca="1" si="135"/>
        <v>1</v>
      </c>
      <c r="AA622" s="43">
        <f t="shared" ca="1" si="136"/>
        <v>0</v>
      </c>
      <c r="AB622" s="202" t="str">
        <f t="shared" ca="1" si="137"/>
        <v/>
      </c>
      <c r="AC622" s="44" t="str">
        <f t="shared" si="138"/>
        <v>SI</v>
      </c>
      <c r="AD622" s="894" t="s">
        <v>1715</v>
      </c>
      <c r="AE622" s="897" t="s">
        <v>1258</v>
      </c>
      <c r="AF622" s="926" t="s">
        <v>3983</v>
      </c>
      <c r="AG622" s="443" t="s">
        <v>1440</v>
      </c>
      <c r="AH622" s="281" t="s">
        <v>560</v>
      </c>
      <c r="AI622" s="305" t="s">
        <v>1510</v>
      </c>
      <c r="AJ622" s="305" t="s">
        <v>3901</v>
      </c>
      <c r="AK622" s="181" t="str">
        <f t="shared" ca="1" si="139"/>
        <v>TERMINO</v>
      </c>
      <c r="AL622" s="310" t="s">
        <v>576</v>
      </c>
      <c r="AM622" s="435" t="s">
        <v>390</v>
      </c>
      <c r="AN622" s="872" t="str">
        <f>IFERROR(VLOOKUP(E622,'liquidaciones '!$B$2:$C$1048576,2,0),"NO")</f>
        <v>NO</v>
      </c>
      <c r="AO622" s="972" t="str">
        <f>IFERROR(VLOOKUP(E622,'liquidaciones '!$B$2:$I$1048576,8,0),"")</f>
        <v/>
      </c>
      <c r="AP622" s="435"/>
      <c r="AQ622" s="435" t="s">
        <v>390</v>
      </c>
      <c r="AR622" s="435" t="s">
        <v>3535</v>
      </c>
      <c r="AS622" s="435" t="s">
        <v>3804</v>
      </c>
      <c r="AT622" s="995" t="s">
        <v>560</v>
      </c>
    </row>
    <row r="623" spans="3:46" ht="90" x14ac:dyDescent="0.25">
      <c r="C623" s="893">
        <v>65</v>
      </c>
      <c r="D623" s="893"/>
      <c r="E623" s="894" t="s">
        <v>3985</v>
      </c>
      <c r="F623" s="443" t="s">
        <v>4045</v>
      </c>
      <c r="G623" s="919" t="s">
        <v>3986</v>
      </c>
      <c r="H623" s="1035" t="s">
        <v>3987</v>
      </c>
      <c r="I623" s="93">
        <v>1083000000</v>
      </c>
      <c r="J623" s="899" t="s">
        <v>3988</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1">
        <f t="shared" si="131"/>
        <v>43523</v>
      </c>
      <c r="U623" s="62">
        <f t="shared" si="132"/>
        <v>1083000000</v>
      </c>
      <c r="V623" s="172">
        <f>VLOOKUP(E623,Modificaciones!$B$7:$AU$900,46,0)</f>
        <v>310645269</v>
      </c>
      <c r="W623" s="93">
        <f t="shared" si="133"/>
        <v>772354731</v>
      </c>
      <c r="X623" s="93" t="s">
        <v>1881</v>
      </c>
      <c r="Y623" s="878">
        <f t="shared" si="134"/>
        <v>0.28683773684210528</v>
      </c>
      <c r="Z623" s="42">
        <f t="shared" ca="1" si="135"/>
        <v>0.51890034364261173</v>
      </c>
      <c r="AA623" s="43">
        <f t="shared" ca="1" si="136"/>
        <v>0.23206260680050644</v>
      </c>
      <c r="AB623" s="202">
        <f t="shared" ca="1" si="137"/>
        <v>140</v>
      </c>
      <c r="AC623" s="44" t="str">
        <f t="shared" si="138"/>
        <v>NO</v>
      </c>
      <c r="AD623" s="762" t="s">
        <v>1713</v>
      </c>
      <c r="AE623" s="173" t="s">
        <v>1257</v>
      </c>
      <c r="AF623" s="281" t="s">
        <v>1128</v>
      </c>
      <c r="AG623" s="173"/>
      <c r="AH623" s="281" t="s">
        <v>560</v>
      </c>
      <c r="AI623" s="305"/>
      <c r="AJ623" s="305" t="s">
        <v>3901</v>
      </c>
      <c r="AK623" s="181" t="str">
        <f t="shared" ca="1" si="139"/>
        <v>EN EJECUCIÓN</v>
      </c>
      <c r="AL623" s="310" t="s">
        <v>575</v>
      </c>
      <c r="AM623" s="435" t="s">
        <v>390</v>
      </c>
      <c r="AN623" s="872" t="str">
        <f>IFERROR(VLOOKUP(E623,'liquidaciones '!$B$2:$C$1048576,2,0),"NO")</f>
        <v>NO</v>
      </c>
      <c r="AO623" s="972" t="str">
        <f>IFERROR(VLOOKUP(E623,'liquidaciones '!$B$2:$I$1048576,8,0),"")</f>
        <v/>
      </c>
      <c r="AP623" s="435"/>
      <c r="AQ623" s="435" t="s">
        <v>390</v>
      </c>
      <c r="AR623" s="435" t="s">
        <v>3069</v>
      </c>
      <c r="AS623" s="435" t="s">
        <v>1380</v>
      </c>
      <c r="AT623" s="995" t="s">
        <v>560</v>
      </c>
    </row>
    <row r="624" spans="3:46" ht="30" x14ac:dyDescent="0.25">
      <c r="C624" s="893"/>
      <c r="D624" s="893"/>
      <c r="E624" s="894" t="s">
        <v>3990</v>
      </c>
      <c r="F624" s="890" t="s">
        <v>3409</v>
      </c>
      <c r="G624" s="892" t="s">
        <v>3991</v>
      </c>
      <c r="H624" s="884" t="s">
        <v>3992</v>
      </c>
      <c r="I624" s="1014">
        <v>6682215</v>
      </c>
      <c r="J624" s="899" t="s">
        <v>3994</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1">
        <f t="shared" si="131"/>
        <v>43236</v>
      </c>
      <c r="U624" s="62">
        <f t="shared" si="132"/>
        <v>6682215</v>
      </c>
      <c r="V624" s="172">
        <f>VLOOKUP(E624,Modificaciones!$B$7:$AU$900,46,0)</f>
        <v>6682215</v>
      </c>
      <c r="W624" s="93">
        <f t="shared" si="133"/>
        <v>0</v>
      </c>
      <c r="X624" s="309" t="s">
        <v>2732</v>
      </c>
      <c r="Y624" s="878">
        <f t="shared" si="134"/>
        <v>1</v>
      </c>
      <c r="Z624" s="42">
        <f t="shared" ca="1" si="135"/>
        <v>1</v>
      </c>
      <c r="AA624" s="43">
        <f t="shared" ca="1" si="136"/>
        <v>0</v>
      </c>
      <c r="AB624" s="202" t="str">
        <f t="shared" ca="1" si="137"/>
        <v/>
      </c>
      <c r="AC624" s="44" t="str">
        <f t="shared" si="138"/>
        <v>SI</v>
      </c>
      <c r="AD624" s="894" t="s">
        <v>1715</v>
      </c>
      <c r="AE624" s="897" t="s">
        <v>1258</v>
      </c>
      <c r="AF624" s="926" t="s">
        <v>3993</v>
      </c>
      <c r="AG624" s="443" t="s">
        <v>1440</v>
      </c>
      <c r="AH624" s="281" t="s">
        <v>560</v>
      </c>
      <c r="AI624" s="305" t="s">
        <v>1510</v>
      </c>
      <c r="AJ624" s="305" t="s">
        <v>3901</v>
      </c>
      <c r="AK624" s="181" t="str">
        <f t="shared" ca="1" si="139"/>
        <v>TERMINO</v>
      </c>
      <c r="AL624" s="310" t="s">
        <v>2733</v>
      </c>
      <c r="AM624" s="435"/>
      <c r="AN624" s="872" t="str">
        <f>IFERROR(VLOOKUP(E624,'liquidaciones '!$B$2:$C$1048576,2,0),"NO")</f>
        <v>NO</v>
      </c>
      <c r="AO624" s="972" t="str">
        <f>IFERROR(VLOOKUP(E624,'liquidaciones '!$B$2:$I$1048576,8,0),"")</f>
        <v/>
      </c>
      <c r="AP624" s="435"/>
      <c r="AQ624" s="435" t="s">
        <v>390</v>
      </c>
      <c r="AR624" s="435" t="s">
        <v>3535</v>
      </c>
      <c r="AS624" s="435" t="s">
        <v>3804</v>
      </c>
      <c r="AT624" s="995" t="s">
        <v>560</v>
      </c>
    </row>
    <row r="625" spans="3:46" ht="101.25" x14ac:dyDescent="0.25">
      <c r="C625" s="893"/>
      <c r="D625" s="893"/>
      <c r="E625" s="894" t="s">
        <v>3995</v>
      </c>
      <c r="F625" s="443" t="s">
        <v>3996</v>
      </c>
      <c r="G625" s="919" t="s">
        <v>3997</v>
      </c>
      <c r="H625" s="1037" t="s">
        <v>3998</v>
      </c>
      <c r="I625" s="93">
        <v>49203666</v>
      </c>
      <c r="J625" s="899" t="s">
        <v>4006</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1">
        <f t="shared" si="131"/>
        <v>43328</v>
      </c>
      <c r="U625" s="62">
        <f t="shared" si="132"/>
        <v>49203666</v>
      </c>
      <c r="V625" s="172">
        <f>VLOOKUP(E625,Modificaciones!$B$7:$AU$900,46,0)</f>
        <v>49203666</v>
      </c>
      <c r="W625" s="93">
        <f t="shared" si="133"/>
        <v>0</v>
      </c>
      <c r="X625" s="315" t="s">
        <v>3999</v>
      </c>
      <c r="Y625" s="878">
        <f t="shared" si="134"/>
        <v>1</v>
      </c>
      <c r="Z625" s="42">
        <f t="shared" ca="1" si="135"/>
        <v>1</v>
      </c>
      <c r="AA625" s="43">
        <f t="shared" ca="1" si="136"/>
        <v>0</v>
      </c>
      <c r="AB625" s="202" t="str">
        <f t="shared" ca="1" si="137"/>
        <v/>
      </c>
      <c r="AC625" s="44" t="str">
        <f t="shared" si="138"/>
        <v>SI</v>
      </c>
      <c r="AD625" s="894" t="s">
        <v>1715</v>
      </c>
      <c r="AE625" s="897" t="s">
        <v>1258</v>
      </c>
      <c r="AF625" s="897" t="s">
        <v>4000</v>
      </c>
      <c r="AG625" s="443" t="s">
        <v>1440</v>
      </c>
      <c r="AH625" s="281" t="s">
        <v>560</v>
      </c>
      <c r="AI625" s="305" t="s">
        <v>1510</v>
      </c>
      <c r="AJ625" s="305" t="s">
        <v>3901</v>
      </c>
      <c r="AK625" s="181" t="str">
        <f t="shared" ca="1" si="139"/>
        <v>TERMINO</v>
      </c>
      <c r="AL625" s="443" t="s">
        <v>574</v>
      </c>
      <c r="AM625" s="435" t="s">
        <v>390</v>
      </c>
      <c r="AN625" s="872" t="str">
        <f>IFERROR(VLOOKUP(E625,'liquidaciones '!$B$2:$C$1048576,2,0),"NO")</f>
        <v>NO</v>
      </c>
      <c r="AO625" s="972" t="str">
        <f>IFERROR(VLOOKUP(E625,'liquidaciones '!$B$2:$I$1048576,8,0),"")</f>
        <v/>
      </c>
      <c r="AP625" s="435"/>
      <c r="AQ625" s="435" t="s">
        <v>390</v>
      </c>
      <c r="AR625" s="435" t="s">
        <v>3535</v>
      </c>
      <c r="AS625" s="435" t="s">
        <v>3804</v>
      </c>
      <c r="AT625" s="995" t="s">
        <v>560</v>
      </c>
    </row>
    <row r="626" spans="3:46" ht="56.25" x14ac:dyDescent="0.25">
      <c r="C626" s="893">
        <v>62</v>
      </c>
      <c r="D626" s="893"/>
      <c r="E626" s="894" t="s">
        <v>4001</v>
      </c>
      <c r="F626" s="443" t="s">
        <v>4002</v>
      </c>
      <c r="G626" s="919" t="s">
        <v>4003</v>
      </c>
      <c r="H626" s="1033" t="s">
        <v>4004</v>
      </c>
      <c r="I626" s="93">
        <v>33190000</v>
      </c>
      <c r="J626" s="899" t="s">
        <v>4005</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1">
        <f t="shared" si="131"/>
        <v>43516</v>
      </c>
      <c r="U626" s="62">
        <f t="shared" si="132"/>
        <v>33190000</v>
      </c>
      <c r="V626" s="172">
        <f>VLOOKUP(E626,Modificaciones!$B$7:$AU$900,46,0)</f>
        <v>9887213</v>
      </c>
      <c r="W626" s="93">
        <f t="shared" si="133"/>
        <v>23302787</v>
      </c>
      <c r="X626" s="309" t="s">
        <v>3007</v>
      </c>
      <c r="Y626" s="878">
        <f t="shared" si="134"/>
        <v>0.2978973485989756</v>
      </c>
      <c r="Z626" s="42">
        <f t="shared" ca="1" si="135"/>
        <v>0.51636363636363636</v>
      </c>
      <c r="AA626" s="43">
        <f t="shared" ca="1" si="136"/>
        <v>0.21846628776466076</v>
      </c>
      <c r="AB626" s="202">
        <f t="shared" ca="1" si="137"/>
        <v>133</v>
      </c>
      <c r="AC626" s="44" t="str">
        <f t="shared" si="138"/>
        <v>NO</v>
      </c>
      <c r="AD626" s="762" t="s">
        <v>1713</v>
      </c>
      <c r="AE626" s="173" t="s">
        <v>1257</v>
      </c>
      <c r="AF626" s="281" t="s">
        <v>1299</v>
      </c>
      <c r="AG626" s="173" t="s">
        <v>1443</v>
      </c>
      <c r="AH626" s="281" t="s">
        <v>560</v>
      </c>
      <c r="AI626" s="174" t="s">
        <v>1381</v>
      </c>
      <c r="AJ626" s="305" t="s">
        <v>3901</v>
      </c>
      <c r="AK626" s="181" t="str">
        <f t="shared" ca="1" si="139"/>
        <v>EN EJECUCIÓN</v>
      </c>
      <c r="AL626" s="181" t="s">
        <v>576</v>
      </c>
      <c r="AM626" s="435" t="s">
        <v>390</v>
      </c>
      <c r="AN626" s="872" t="str">
        <f>IFERROR(VLOOKUP(E626,'liquidaciones '!$B$2:$C$1048576,2,0),"NO")</f>
        <v>NO</v>
      </c>
      <c r="AO626" s="972" t="str">
        <f>IFERROR(VLOOKUP(E626,'liquidaciones '!$B$2:$I$1048576,8,0),"")</f>
        <v/>
      </c>
      <c r="AP626" s="435"/>
      <c r="AQ626" s="435" t="s">
        <v>390</v>
      </c>
      <c r="AR626" s="435" t="s">
        <v>3069</v>
      </c>
      <c r="AS626" s="435" t="s">
        <v>3800</v>
      </c>
      <c r="AT626" s="995" t="s">
        <v>560</v>
      </c>
    </row>
    <row r="627" spans="3:46" ht="30" x14ac:dyDescent="0.25">
      <c r="C627" s="893">
        <v>133</v>
      </c>
      <c r="D627" s="893"/>
      <c r="E627" s="894" t="s">
        <v>4009</v>
      </c>
      <c r="F627" s="443" t="s">
        <v>4010</v>
      </c>
      <c r="G627" s="919" t="s">
        <v>4011</v>
      </c>
      <c r="H627" s="1037" t="s">
        <v>4012</v>
      </c>
      <c r="I627" s="93">
        <v>46208000</v>
      </c>
      <c r="J627" s="899" t="s">
        <v>4016</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1">
        <f t="shared" si="131"/>
        <v>43608</v>
      </c>
      <c r="U627" s="62">
        <f t="shared" si="132"/>
        <v>46208000</v>
      </c>
      <c r="V627" s="172">
        <f>VLOOKUP(E627,Modificaciones!$B$7:$AU$900,46,0)</f>
        <v>0</v>
      </c>
      <c r="W627" s="93">
        <f t="shared" si="133"/>
        <v>46208000</v>
      </c>
      <c r="X627" s="309" t="s">
        <v>4013</v>
      </c>
      <c r="Y627" s="878">
        <f t="shared" si="134"/>
        <v>0</v>
      </c>
      <c r="Z627" s="42">
        <f t="shared" ca="1" si="135"/>
        <v>0.38186813186813184</v>
      </c>
      <c r="AA627" s="43">
        <f t="shared" ca="1" si="136"/>
        <v>0.38186813186813184</v>
      </c>
      <c r="AB627" s="202">
        <f t="shared" ca="1" si="137"/>
        <v>225</v>
      </c>
      <c r="AC627" s="44" t="str">
        <f t="shared" si="138"/>
        <v>NO</v>
      </c>
      <c r="AD627" s="762" t="s">
        <v>1716</v>
      </c>
      <c r="AE627" s="173" t="s">
        <v>1257</v>
      </c>
      <c r="AF627" s="281" t="s">
        <v>1136</v>
      </c>
      <c r="AG627" s="173"/>
      <c r="AH627" s="281" t="s">
        <v>562</v>
      </c>
      <c r="AI627" s="305" t="s">
        <v>3810</v>
      </c>
      <c r="AJ627" s="305" t="s">
        <v>4014</v>
      </c>
      <c r="AK627" s="181" t="str">
        <f t="shared" ca="1" si="139"/>
        <v>EN EJECUCIÓN</v>
      </c>
      <c r="AL627" s="181" t="s">
        <v>576</v>
      </c>
      <c r="AM627" s="435" t="s">
        <v>390</v>
      </c>
      <c r="AN627" s="872" t="str">
        <f>IFERROR(VLOOKUP(E627,'liquidaciones '!$B$2:$C$1048576,2,0),"NO")</f>
        <v>NO</v>
      </c>
      <c r="AO627" s="972" t="str">
        <f>IFERROR(VLOOKUP(E627,'liquidaciones '!$B$2:$I$1048576,8,0),"")</f>
        <v/>
      </c>
      <c r="AP627" s="435"/>
      <c r="AQ627" s="435" t="s">
        <v>390</v>
      </c>
      <c r="AR627" s="177" t="s">
        <v>4302</v>
      </c>
      <c r="AS627" s="435" t="s">
        <v>3810</v>
      </c>
      <c r="AT627" s="995" t="s">
        <v>4015</v>
      </c>
    </row>
    <row r="628" spans="3:46" ht="56.25" x14ac:dyDescent="0.25">
      <c r="C628" s="893">
        <v>1</v>
      </c>
      <c r="D628" s="893"/>
      <c r="E628" s="894" t="s">
        <v>4027</v>
      </c>
      <c r="F628" s="443" t="s">
        <v>4028</v>
      </c>
      <c r="G628" s="919">
        <v>811044253</v>
      </c>
      <c r="H628" s="1037" t="s">
        <v>4029</v>
      </c>
      <c r="I628" s="93">
        <v>314000000</v>
      </c>
      <c r="J628" s="899" t="s">
        <v>4030</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1">
        <f t="shared" si="131"/>
        <v>43510</v>
      </c>
      <c r="U628" s="62">
        <f t="shared" si="132"/>
        <v>314000000</v>
      </c>
      <c r="V628" s="172">
        <f>VLOOKUP(E628,Modificaciones!$B$7:$AU$900,46,0)</f>
        <v>33141016</v>
      </c>
      <c r="W628" s="93">
        <f t="shared" si="133"/>
        <v>280858984</v>
      </c>
      <c r="X628" s="309" t="s">
        <v>2769</v>
      </c>
      <c r="Y628" s="878">
        <f t="shared" si="134"/>
        <v>0.10554463694267516</v>
      </c>
      <c r="Z628" s="42">
        <f t="shared" ca="1" si="135"/>
        <v>0.50775193798449614</v>
      </c>
      <c r="AA628" s="43">
        <f t="shared" ca="1" si="136"/>
        <v>0.40220730104182101</v>
      </c>
      <c r="AB628" s="202">
        <f t="shared" ca="1" si="137"/>
        <v>127</v>
      </c>
      <c r="AC628" s="44" t="str">
        <f t="shared" si="138"/>
        <v>NO</v>
      </c>
      <c r="AD628" s="762" t="s">
        <v>1713</v>
      </c>
      <c r="AE628" s="173" t="s">
        <v>1257</v>
      </c>
      <c r="AF628" s="281" t="s">
        <v>1139</v>
      </c>
      <c r="AG628" s="173" t="s">
        <v>1443</v>
      </c>
      <c r="AH628" s="281" t="s">
        <v>560</v>
      </c>
      <c r="AI628" s="174" t="s">
        <v>1380</v>
      </c>
      <c r="AJ628" s="305" t="s">
        <v>3901</v>
      </c>
      <c r="AK628" s="181" t="str">
        <f t="shared" ca="1" si="139"/>
        <v>EN EJECUCIÓN</v>
      </c>
      <c r="AL628" s="443" t="s">
        <v>573</v>
      </c>
      <c r="AM628" s="435" t="s">
        <v>390</v>
      </c>
      <c r="AN628" s="872" t="str">
        <f>IFERROR(VLOOKUP(E628,'liquidaciones '!$B$2:$C$1048576,2,0),"NO")</f>
        <v>NO</v>
      </c>
      <c r="AO628" s="972" t="str">
        <f>IFERROR(VLOOKUP(E628,'liquidaciones '!$B$2:$I$1048576,8,0),"")</f>
        <v/>
      </c>
      <c r="AP628" s="435"/>
      <c r="AQ628" s="435" t="s">
        <v>390</v>
      </c>
      <c r="AR628" s="435" t="s">
        <v>1511</v>
      </c>
      <c r="AS628" s="435" t="s">
        <v>1380</v>
      </c>
      <c r="AT628" s="995" t="s">
        <v>560</v>
      </c>
    </row>
    <row r="629" spans="3:46" ht="78.75" x14ac:dyDescent="0.25">
      <c r="C629" s="893">
        <v>11</v>
      </c>
      <c r="D629" s="893"/>
      <c r="E629" s="894" t="s">
        <v>4032</v>
      </c>
      <c r="F629" s="443" t="s">
        <v>4033</v>
      </c>
      <c r="G629" s="919">
        <v>900152368</v>
      </c>
      <c r="H629" s="1037" t="s">
        <v>4034</v>
      </c>
      <c r="I629" s="93">
        <v>4600000</v>
      </c>
      <c r="J629" s="899" t="s">
        <v>4035</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1">
        <f t="shared" si="131"/>
        <v>43636</v>
      </c>
      <c r="U629" s="62">
        <f t="shared" si="132"/>
        <v>4600000</v>
      </c>
      <c r="V629" s="172">
        <f>VLOOKUP(E629,Modificaciones!$B$7:$AU$900,46,0)</f>
        <v>0</v>
      </c>
      <c r="W629" s="93">
        <f t="shared" si="133"/>
        <v>4600000</v>
      </c>
      <c r="X629" s="309" t="s">
        <v>3002</v>
      </c>
      <c r="Y629" s="878">
        <f t="shared" si="134"/>
        <v>0</v>
      </c>
      <c r="Z629" s="42">
        <f t="shared" ca="1" si="135"/>
        <v>0.30494505494505497</v>
      </c>
      <c r="AA629" s="43">
        <f t="shared" ca="1" si="136"/>
        <v>0.30494505494505497</v>
      </c>
      <c r="AB629" s="202">
        <f t="shared" ca="1" si="137"/>
        <v>253</v>
      </c>
      <c r="AC629" s="44" t="str">
        <f t="shared" si="138"/>
        <v>NO</v>
      </c>
      <c r="AD629" s="762" t="s">
        <v>1713</v>
      </c>
      <c r="AE629" s="173" t="s">
        <v>1257</v>
      </c>
      <c r="AF629" s="281" t="s">
        <v>1173</v>
      </c>
      <c r="AG629" s="173" t="s">
        <v>1443</v>
      </c>
      <c r="AH629" s="281" t="s">
        <v>560</v>
      </c>
      <c r="AI629" s="894" t="s">
        <v>3622</v>
      </c>
      <c r="AJ629" s="305" t="s">
        <v>3901</v>
      </c>
      <c r="AK629" s="181" t="str">
        <f t="shared" ca="1" si="139"/>
        <v>EN EJECUCIÓN</v>
      </c>
      <c r="AL629" s="181" t="s">
        <v>576</v>
      </c>
      <c r="AM629" s="176" t="s">
        <v>390</v>
      </c>
      <c r="AN629" s="872" t="str">
        <f>IFERROR(VLOOKUP(E629,'liquidaciones '!$B$2:$C$1048576,2,0),"NO")</f>
        <v>NO</v>
      </c>
      <c r="AO629" s="972" t="str">
        <f>IFERROR(VLOOKUP(E629,'liquidaciones '!$B$2:$I$1048576,8,0),"")</f>
        <v/>
      </c>
      <c r="AP629" s="435"/>
      <c r="AQ629" s="435" t="s">
        <v>390</v>
      </c>
      <c r="AR629" s="435" t="s">
        <v>4279</v>
      </c>
      <c r="AS629" s="435" t="s">
        <v>3800</v>
      </c>
      <c r="AT629" s="995" t="s">
        <v>560</v>
      </c>
    </row>
    <row r="630" spans="3:46" ht="45" x14ac:dyDescent="0.25">
      <c r="C630" s="893">
        <v>112</v>
      </c>
      <c r="D630" s="893"/>
      <c r="E630" s="894" t="s">
        <v>4052</v>
      </c>
      <c r="F630" s="443" t="s">
        <v>3747</v>
      </c>
      <c r="G630" s="919" t="s">
        <v>3578</v>
      </c>
      <c r="H630" s="1037" t="s">
        <v>4053</v>
      </c>
      <c r="I630" s="93">
        <v>7663600</v>
      </c>
      <c r="J630" s="899" t="s">
        <v>4057</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1">
        <f t="shared" si="131"/>
        <v>43384</v>
      </c>
      <c r="U630" s="62">
        <f t="shared" si="132"/>
        <v>7663600</v>
      </c>
      <c r="V630" s="172">
        <f>VLOOKUP(E630,Modificaciones!$B$7:$AU$900,46,0)</f>
        <v>0</v>
      </c>
      <c r="W630" s="93">
        <f t="shared" si="133"/>
        <v>7663600</v>
      </c>
      <c r="X630" s="309" t="s">
        <v>4054</v>
      </c>
      <c r="Y630" s="878">
        <f t="shared" si="134"/>
        <v>0</v>
      </c>
      <c r="Z630" s="42">
        <f t="shared" ca="1" si="135"/>
        <v>0.99173553719008267</v>
      </c>
      <c r="AA630" s="43">
        <f t="shared" ca="1" si="136"/>
        <v>0.99173553719008267</v>
      </c>
      <c r="AB630" s="202">
        <f t="shared" ca="1" si="137"/>
        <v>1</v>
      </c>
      <c r="AC630" s="44" t="str">
        <f t="shared" si="138"/>
        <v>NO</v>
      </c>
      <c r="AD630" s="894"/>
      <c r="AE630" s="173" t="s">
        <v>1257</v>
      </c>
      <c r="AF630" s="301" t="s">
        <v>1351</v>
      </c>
      <c r="AG630" s="173" t="s">
        <v>1432</v>
      </c>
      <c r="AH630" s="281" t="s">
        <v>563</v>
      </c>
      <c r="AI630" s="174"/>
      <c r="AJ630" s="305" t="s">
        <v>4055</v>
      </c>
      <c r="AK630" s="181" t="str">
        <f t="shared" ca="1" si="139"/>
        <v>EN EJECUCIÓN</v>
      </c>
      <c r="AL630" s="181" t="s">
        <v>576</v>
      </c>
      <c r="AM630" s="435" t="s">
        <v>390</v>
      </c>
      <c r="AN630" s="872" t="str">
        <f>IFERROR(VLOOKUP(E630,'liquidaciones '!$B$2:$C$1048576,2,0),"NO")</f>
        <v>NO</v>
      </c>
      <c r="AO630" s="972" t="str">
        <f>IFERROR(VLOOKUP(E630,'liquidaciones '!$B$2:$I$1048576,8,0),"")</f>
        <v/>
      </c>
      <c r="AP630" s="435"/>
      <c r="AQ630" s="435" t="s">
        <v>390</v>
      </c>
      <c r="AR630" s="1005" t="s">
        <v>4302</v>
      </c>
      <c r="AS630" s="435" t="s">
        <v>4280</v>
      </c>
      <c r="AT630" s="995" t="s">
        <v>4056</v>
      </c>
    </row>
    <row r="631" spans="3:46" ht="33.75" x14ac:dyDescent="0.25">
      <c r="C631" s="893">
        <v>263</v>
      </c>
      <c r="D631" s="893"/>
      <c r="E631" s="894" t="s">
        <v>4079</v>
      </c>
      <c r="F631" s="443" t="s">
        <v>152</v>
      </c>
      <c r="G631" s="919">
        <v>800015583</v>
      </c>
      <c r="H631" s="1037" t="s">
        <v>4080</v>
      </c>
      <c r="I631" s="93">
        <v>13499360</v>
      </c>
      <c r="J631" s="899" t="s">
        <v>4078</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1">
        <f t="shared" si="131"/>
        <v>43392</v>
      </c>
      <c r="U631" s="62">
        <f t="shared" si="132"/>
        <v>13499360</v>
      </c>
      <c r="V631" s="172">
        <f>VLOOKUP(E631,Modificaciones!$B$7:$AU$900,46,0)</f>
        <v>0</v>
      </c>
      <c r="W631" s="93">
        <f t="shared" si="133"/>
        <v>13499360</v>
      </c>
      <c r="X631" s="309" t="s">
        <v>4081</v>
      </c>
      <c r="Y631" s="878">
        <f t="shared" si="134"/>
        <v>0</v>
      </c>
      <c r="Z631" s="42">
        <f t="shared" ca="1" si="135"/>
        <v>0.85</v>
      </c>
      <c r="AA631" s="43">
        <f t="shared" ca="1" si="136"/>
        <v>0.85</v>
      </c>
      <c r="AB631" s="202">
        <f t="shared" ca="1" si="137"/>
        <v>9</v>
      </c>
      <c r="AC631" s="44" t="str">
        <f t="shared" si="138"/>
        <v>NO</v>
      </c>
      <c r="AD631" s="894"/>
      <c r="AE631" s="897" t="s">
        <v>1258</v>
      </c>
      <c r="AF631" s="897" t="s">
        <v>4082</v>
      </c>
      <c r="AG631" s="443" t="s">
        <v>1440</v>
      </c>
      <c r="AH631" s="281" t="s">
        <v>560</v>
      </c>
      <c r="AI631" s="305" t="s">
        <v>1510</v>
      </c>
      <c r="AJ631" s="305" t="s">
        <v>3901</v>
      </c>
      <c r="AK631" s="181" t="str">
        <f t="shared" ca="1" si="139"/>
        <v>EN EJECUCIÓN</v>
      </c>
      <c r="AL631" s="181" t="s">
        <v>576</v>
      </c>
      <c r="AM631" s="435" t="s">
        <v>391</v>
      </c>
      <c r="AN631" s="872" t="str">
        <f>IFERROR(VLOOKUP(E631,'liquidaciones '!$B$2:$C$1048576,2,0),"NO")</f>
        <v>NO</v>
      </c>
      <c r="AO631" s="972" t="str">
        <f>IFERROR(VLOOKUP(E631,'liquidaciones '!$B$2:$I$1048576,8,0),"")</f>
        <v/>
      </c>
      <c r="AP631" s="435"/>
      <c r="AQ631" s="435" t="s">
        <v>390</v>
      </c>
      <c r="AR631" s="435" t="s">
        <v>4257</v>
      </c>
      <c r="AS631" s="435" t="s">
        <v>3804</v>
      </c>
      <c r="AT631" s="995" t="s">
        <v>560</v>
      </c>
    </row>
    <row r="632" spans="3:46" ht="135" x14ac:dyDescent="0.25">
      <c r="C632" s="893">
        <v>193</v>
      </c>
      <c r="D632" s="893"/>
      <c r="E632" s="894" t="s">
        <v>4098</v>
      </c>
      <c r="F632" s="443" t="s">
        <v>2099</v>
      </c>
      <c r="G632" s="919">
        <v>830099766</v>
      </c>
      <c r="H632" s="1037" t="s">
        <v>4099</v>
      </c>
      <c r="I632" s="93">
        <v>57462030</v>
      </c>
      <c r="J632" s="899" t="s">
        <v>4098</v>
      </c>
      <c r="K632" s="295">
        <v>2018</v>
      </c>
      <c r="L632" s="548">
        <v>43280</v>
      </c>
      <c r="M632" s="548">
        <v>43304</v>
      </c>
      <c r="N632" s="548">
        <v>43577</v>
      </c>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1">
        <f t="shared" si="131"/>
        <v>43577</v>
      </c>
      <c r="U632" s="62">
        <f t="shared" si="132"/>
        <v>57462030</v>
      </c>
      <c r="V632" s="172">
        <f>VLOOKUP(E632,Modificaciones!$B$7:$AU$900,46,0)</f>
        <v>32137050</v>
      </c>
      <c r="W632" s="93">
        <f t="shared" si="133"/>
        <v>25324980</v>
      </c>
      <c r="X632" s="925" t="s">
        <v>4100</v>
      </c>
      <c r="Y632" s="878">
        <f t="shared" si="134"/>
        <v>0.55927453311343156</v>
      </c>
      <c r="Z632" s="42">
        <f t="shared" ca="1" si="135"/>
        <v>0.2893772893772894</v>
      </c>
      <c r="AA632" s="43">
        <f t="shared" ca="1" si="136"/>
        <v>-0.26989724373614216</v>
      </c>
      <c r="AB632" s="202">
        <f t="shared" ca="1" si="137"/>
        <v>194</v>
      </c>
      <c r="AC632" s="44" t="str">
        <f t="shared" si="138"/>
        <v>NO</v>
      </c>
      <c r="AD632" s="762" t="s">
        <v>1713</v>
      </c>
      <c r="AE632" s="173" t="s">
        <v>1258</v>
      </c>
      <c r="AF632" s="281" t="s">
        <v>2102</v>
      </c>
      <c r="AG632" s="173" t="s">
        <v>1440</v>
      </c>
      <c r="AH632" s="281" t="s">
        <v>560</v>
      </c>
      <c r="AI632" s="305" t="s">
        <v>1510</v>
      </c>
      <c r="AJ632" s="305" t="s">
        <v>4055</v>
      </c>
      <c r="AK632" s="181" t="str">
        <f t="shared" ca="1" si="139"/>
        <v>EN EJECUCIÓN</v>
      </c>
      <c r="AL632" s="310" t="s">
        <v>582</v>
      </c>
      <c r="AM632" s="176" t="s">
        <v>390</v>
      </c>
      <c r="AN632" s="872" t="str">
        <f>IFERROR(VLOOKUP(E632,'liquidaciones '!$B$2:$C$1048576,2,0),"NO")</f>
        <v>NO</v>
      </c>
      <c r="AO632" s="972" t="str">
        <f>IFERROR(VLOOKUP(E632,'liquidaciones '!$B$2:$I$1048576,8,0),"")</f>
        <v/>
      </c>
      <c r="AP632" s="435"/>
      <c r="AQ632" s="435" t="s">
        <v>390</v>
      </c>
      <c r="AR632" s="1005" t="s">
        <v>4257</v>
      </c>
      <c r="AS632" s="435" t="s">
        <v>3804</v>
      </c>
      <c r="AT632" s="995" t="s">
        <v>560</v>
      </c>
    </row>
    <row r="633" spans="3:46" ht="45" x14ac:dyDescent="0.25">
      <c r="C633" s="893"/>
      <c r="D633" s="893"/>
      <c r="E633" s="894" t="s">
        <v>4101</v>
      </c>
      <c r="F633" s="443" t="s">
        <v>4102</v>
      </c>
      <c r="G633" s="919">
        <v>19258732</v>
      </c>
      <c r="H633" s="1037" t="s">
        <v>4103</v>
      </c>
      <c r="I633" s="93">
        <v>52348000</v>
      </c>
      <c r="J633" s="899" t="s">
        <v>4112</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1">
        <f t="shared" si="131"/>
        <v>43358</v>
      </c>
      <c r="U633" s="62">
        <f t="shared" si="132"/>
        <v>52348000</v>
      </c>
      <c r="V633" s="172">
        <f>VLOOKUP(E633,Modificaciones!$B$7:$AU$900,46,0)</f>
        <v>0</v>
      </c>
      <c r="W633" s="93">
        <f t="shared" si="133"/>
        <v>52348000</v>
      </c>
      <c r="X633" s="309" t="s">
        <v>2803</v>
      </c>
      <c r="Y633" s="878">
        <f t="shared" si="134"/>
        <v>0</v>
      </c>
      <c r="Z633" s="42">
        <f t="shared" ca="1" si="135"/>
        <v>1</v>
      </c>
      <c r="AA633" s="43">
        <f t="shared" ca="1" si="136"/>
        <v>1</v>
      </c>
      <c r="AB633" s="202" t="str">
        <f t="shared" ca="1" si="137"/>
        <v/>
      </c>
      <c r="AC633" s="44" t="str">
        <f t="shared" si="138"/>
        <v>NO</v>
      </c>
      <c r="AD633" s="894" t="s">
        <v>1715</v>
      </c>
      <c r="AE633" s="897" t="s">
        <v>1257</v>
      </c>
      <c r="AF633" s="897" t="s">
        <v>2409</v>
      </c>
      <c r="AG633" s="173" t="s">
        <v>1443</v>
      </c>
      <c r="AH633" s="894" t="s">
        <v>559</v>
      </c>
      <c r="AI633" s="894" t="s">
        <v>3622</v>
      </c>
      <c r="AJ633" s="305" t="s">
        <v>4055</v>
      </c>
      <c r="AK633" s="181" t="str">
        <f t="shared" ca="1" si="139"/>
        <v>TERMINO</v>
      </c>
      <c r="AL633" s="181" t="s">
        <v>576</v>
      </c>
      <c r="AM633" s="435" t="s">
        <v>391</v>
      </c>
      <c r="AN633" s="872" t="str">
        <f>IFERROR(VLOOKUP(E633,'liquidaciones '!$B$2:$C$1048576,2,0),"NO")</f>
        <v>NO</v>
      </c>
      <c r="AO633" s="972" t="str">
        <f>IFERROR(VLOOKUP(E633,'liquidaciones '!$B$2:$I$1048576,8,0),"")</f>
        <v/>
      </c>
      <c r="AP633" s="435"/>
      <c r="AQ633" s="435" t="s">
        <v>390</v>
      </c>
      <c r="AR633" s="1005" t="s">
        <v>4299</v>
      </c>
      <c r="AS633" s="435" t="s">
        <v>3800</v>
      </c>
      <c r="AT633" s="995" t="s">
        <v>559</v>
      </c>
    </row>
    <row r="634" spans="3:46" ht="112.5" x14ac:dyDescent="0.25">
      <c r="C634" s="893">
        <v>180</v>
      </c>
      <c r="D634" s="893"/>
      <c r="E634" s="894" t="s">
        <v>4104</v>
      </c>
      <c r="F634" s="443" t="s">
        <v>4105</v>
      </c>
      <c r="G634" s="1039">
        <v>900220002</v>
      </c>
      <c r="H634" s="1037" t="s">
        <v>4106</v>
      </c>
      <c r="I634" s="93">
        <v>43000000</v>
      </c>
      <c r="J634" s="899" t="s">
        <v>4113</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1">
        <f t="shared" si="131"/>
        <v>43650</v>
      </c>
      <c r="U634" s="62">
        <f t="shared" si="132"/>
        <v>43000000</v>
      </c>
      <c r="V634" s="172">
        <f>VLOOKUP(E634,Modificaciones!$B$7:$AU$900,46,0)</f>
        <v>38022658</v>
      </c>
      <c r="W634" s="93">
        <f t="shared" si="133"/>
        <v>4977342</v>
      </c>
      <c r="X634" s="315" t="s">
        <v>4107</v>
      </c>
      <c r="Y634" s="878">
        <f t="shared" si="134"/>
        <v>0.88424786046511628</v>
      </c>
      <c r="Z634" s="42">
        <f t="shared" ca="1" si="135"/>
        <v>0.26648351648351648</v>
      </c>
      <c r="AA634" s="43">
        <f t="shared" ca="1" si="136"/>
        <v>-0.61776434398159985</v>
      </c>
      <c r="AB634" s="202">
        <f t="shared" ca="1" si="137"/>
        <v>267</v>
      </c>
      <c r="AC634" s="44" t="str">
        <f t="shared" si="138"/>
        <v>NO</v>
      </c>
      <c r="AD634" s="762" t="s">
        <v>1713</v>
      </c>
      <c r="AE634" s="897" t="s">
        <v>1258</v>
      </c>
      <c r="AF634" s="897" t="s">
        <v>2983</v>
      </c>
      <c r="AG634" s="173" t="s">
        <v>1440</v>
      </c>
      <c r="AH634" s="281" t="s">
        <v>560</v>
      </c>
      <c r="AI634" s="894"/>
      <c r="AJ634" s="305" t="s">
        <v>3901</v>
      </c>
      <c r="AK634" s="181" t="str">
        <f t="shared" ca="1" si="139"/>
        <v>EN EJECUCIÓN</v>
      </c>
      <c r="AL634" s="310" t="s">
        <v>576</v>
      </c>
      <c r="AM634" s="435" t="s">
        <v>390</v>
      </c>
      <c r="AN634" s="872" t="str">
        <f>IFERROR(VLOOKUP(E634,'liquidaciones '!$B$2:$C$1048576,2,0),"NO")</f>
        <v>NO</v>
      </c>
      <c r="AO634" s="972" t="str">
        <f>IFERROR(VLOOKUP(E634,'liquidaciones '!$B$2:$I$1048576,8,0),"")</f>
        <v/>
      </c>
      <c r="AP634" s="435"/>
      <c r="AQ634" s="177" t="s">
        <v>390</v>
      </c>
      <c r="AR634" s="1005" t="s">
        <v>4257</v>
      </c>
      <c r="AS634" s="435" t="s">
        <v>3804</v>
      </c>
      <c r="AT634" s="995" t="s">
        <v>560</v>
      </c>
    </row>
    <row r="635" spans="3:46" ht="56.25" x14ac:dyDescent="0.25">
      <c r="C635" s="893">
        <v>3</v>
      </c>
      <c r="D635" s="893"/>
      <c r="E635" s="894" t="s">
        <v>4108</v>
      </c>
      <c r="F635" s="443" t="s">
        <v>4109</v>
      </c>
      <c r="G635" s="919" t="s">
        <v>4110</v>
      </c>
      <c r="H635" s="1037" t="s">
        <v>4111</v>
      </c>
      <c r="I635" s="93">
        <v>3059584</v>
      </c>
      <c r="J635" s="899" t="s">
        <v>4114</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1">
        <f t="shared" si="131"/>
        <v>43459</v>
      </c>
      <c r="U635" s="62">
        <f t="shared" si="132"/>
        <v>3059584</v>
      </c>
      <c r="V635" s="172">
        <f>VLOOKUP(E635,Modificaciones!$B$7:$AU$900,46,0)</f>
        <v>578530</v>
      </c>
      <c r="W635" s="93">
        <f t="shared" si="133"/>
        <v>2481054</v>
      </c>
      <c r="X635" s="444" t="s">
        <v>2578</v>
      </c>
      <c r="Y635" s="878">
        <f t="shared" si="134"/>
        <v>0.18908779755679203</v>
      </c>
      <c r="Z635" s="42">
        <f t="shared" ca="1" si="135"/>
        <v>0.58241758241758246</v>
      </c>
      <c r="AA635" s="43">
        <f t="shared" ca="1" si="136"/>
        <v>0.3933297848607904</v>
      </c>
      <c r="AB635" s="202">
        <f t="shared" ca="1" si="137"/>
        <v>76</v>
      </c>
      <c r="AC635" s="44" t="str">
        <f t="shared" si="138"/>
        <v>NO</v>
      </c>
      <c r="AD635" s="762" t="s">
        <v>1713</v>
      </c>
      <c r="AE635" s="173" t="s">
        <v>1257</v>
      </c>
      <c r="AF635" s="281" t="s">
        <v>1169</v>
      </c>
      <c r="AG635" s="173" t="s">
        <v>1443</v>
      </c>
      <c r="AH635" s="281" t="s">
        <v>560</v>
      </c>
      <c r="AI635" s="174" t="s">
        <v>1388</v>
      </c>
      <c r="AJ635" s="305" t="s">
        <v>3901</v>
      </c>
      <c r="AK635" s="181" t="str">
        <f t="shared" ca="1" si="139"/>
        <v>EN EJECUCIÓN</v>
      </c>
      <c r="AL635" s="181" t="s">
        <v>576</v>
      </c>
      <c r="AM635" s="435" t="s">
        <v>390</v>
      </c>
      <c r="AN635" s="872" t="str">
        <f>IFERROR(VLOOKUP(E635,'liquidaciones '!$B$2:$C$1048576,2,0),"NO")</f>
        <v>NO</v>
      </c>
      <c r="AO635" s="972" t="str">
        <f>IFERROR(VLOOKUP(E635,'liquidaciones '!$B$2:$I$1048576,8,0),"")</f>
        <v/>
      </c>
      <c r="AP635" s="435"/>
      <c r="AQ635" s="435" t="s">
        <v>390</v>
      </c>
      <c r="AR635" s="1005" t="s">
        <v>4279</v>
      </c>
      <c r="AS635" s="435" t="s">
        <v>3841</v>
      </c>
      <c r="AT635" s="995" t="s">
        <v>559</v>
      </c>
    </row>
    <row r="636" spans="3:46" ht="56.25" x14ac:dyDescent="0.25">
      <c r="C636" s="893">
        <v>42</v>
      </c>
      <c r="D636" s="893"/>
      <c r="E636" s="894" t="s">
        <v>4133</v>
      </c>
      <c r="F636" s="443" t="s">
        <v>4134</v>
      </c>
      <c r="G636" s="919">
        <v>900332934</v>
      </c>
      <c r="H636" s="1037" t="s">
        <v>3730</v>
      </c>
      <c r="I636" s="93">
        <v>2810000</v>
      </c>
      <c r="J636" s="899" t="s">
        <v>4135</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1">
        <f t="shared" si="131"/>
        <v>43494</v>
      </c>
      <c r="U636" s="62">
        <f t="shared" si="132"/>
        <v>2810000</v>
      </c>
      <c r="V636" s="172">
        <f>VLOOKUP(E636,Modificaciones!$B$7:$AU$900,46,0)</f>
        <v>0</v>
      </c>
      <c r="W636" s="93">
        <f t="shared" si="133"/>
        <v>2810000</v>
      </c>
      <c r="X636" s="315" t="s">
        <v>1188</v>
      </c>
      <c r="Y636" s="878">
        <f t="shared" si="134"/>
        <v>0</v>
      </c>
      <c r="Z636" s="42">
        <f t="shared" ca="1" si="135"/>
        <v>0.39344262295081966</v>
      </c>
      <c r="AA636" s="43">
        <f t="shared" ca="1" si="136"/>
        <v>0.39344262295081966</v>
      </c>
      <c r="AB636" s="202">
        <f t="shared" ca="1" si="137"/>
        <v>111</v>
      </c>
      <c r="AC636" s="44" t="str">
        <f t="shared" si="138"/>
        <v>NO</v>
      </c>
      <c r="AD636" s="894"/>
      <c r="AE636" s="173" t="s">
        <v>1257</v>
      </c>
      <c r="AF636" s="281" t="s">
        <v>1137</v>
      </c>
      <c r="AG636" s="173" t="s">
        <v>1443</v>
      </c>
      <c r="AH636" s="281" t="s">
        <v>560</v>
      </c>
      <c r="AI636" s="174" t="s">
        <v>3622</v>
      </c>
      <c r="AJ636" s="305" t="s">
        <v>3901</v>
      </c>
      <c r="AK636" s="181" t="str">
        <f t="shared" ca="1" si="139"/>
        <v>EN EJECUCIÓN</v>
      </c>
      <c r="AL636" s="181" t="s">
        <v>576</v>
      </c>
      <c r="AM636" s="435" t="s">
        <v>390</v>
      </c>
      <c r="AN636" s="872" t="str">
        <f>IFERROR(VLOOKUP(E636,'liquidaciones '!$B$2:$C$1048576,2,0),"NO")</f>
        <v>NO</v>
      </c>
      <c r="AO636" s="972" t="str">
        <f>IFERROR(VLOOKUP(E636,'liquidaciones '!$B$2:$I$1048576,8,0),"")</f>
        <v/>
      </c>
      <c r="AP636" s="435"/>
      <c r="AQ636" s="435" t="s">
        <v>390</v>
      </c>
      <c r="AR636" s="177" t="s">
        <v>1511</v>
      </c>
      <c r="AS636" s="435" t="s">
        <v>1380</v>
      </c>
      <c r="AT636" s="995" t="s">
        <v>560</v>
      </c>
    </row>
    <row r="637" spans="3:46" ht="30" x14ac:dyDescent="0.25">
      <c r="C637" s="893"/>
      <c r="D637" s="893"/>
      <c r="E637" s="894" t="s">
        <v>4136</v>
      </c>
      <c r="F637" s="443" t="s">
        <v>4138</v>
      </c>
      <c r="G637" s="919">
        <v>79667596</v>
      </c>
      <c r="H637" s="1037" t="s">
        <v>4137</v>
      </c>
      <c r="I637" s="93">
        <v>55138787</v>
      </c>
      <c r="J637" s="899" t="s">
        <v>4139</v>
      </c>
      <c r="K637" s="295">
        <v>2018</v>
      </c>
      <c r="L637" s="548">
        <v>43293</v>
      </c>
      <c r="M637" s="548">
        <v>43306</v>
      </c>
      <c r="N637" s="548">
        <v>43367</v>
      </c>
      <c r="O637" s="127">
        <f>COUNTA(Modificaciones!I623,Modificaciones!K623,Modificaciones!M623,Modificaciones!O623)</f>
        <v>0</v>
      </c>
      <c r="P637" s="128">
        <f>VLOOKUP(E637,Modificaciones!$B$7:$Q$900,16,0)</f>
        <v>0</v>
      </c>
      <c r="Q637" s="129">
        <f>COUNTA(Modificaciones!S637,Modificaciones!U637,Modificaciones!W637,Modificaciones!Y637)</f>
        <v>1</v>
      </c>
      <c r="R637" s="130" t="str">
        <f>IF(Modificaciones!Z637=0,"",VLOOKUP(E637,Modificaciones!$B$7:$AA$1500,25,0))</f>
        <v>10 días calendario</v>
      </c>
      <c r="S637" s="131">
        <f>IF(Modificaciones!AA637=0,"",VLOOKUP(E637,Modificaciones!$B$7:$AA$1500,26,0))</f>
        <v>43378</v>
      </c>
      <c r="T637" s="881">
        <f t="shared" si="131"/>
        <v>43378</v>
      </c>
      <c r="U637" s="62">
        <f t="shared" si="132"/>
        <v>55138787</v>
      </c>
      <c r="V637" s="172">
        <f>VLOOKUP(E637,Modificaciones!$B$7:$AU$900,46,0)</f>
        <v>0</v>
      </c>
      <c r="W637" s="93">
        <f t="shared" si="133"/>
        <v>55138787</v>
      </c>
      <c r="X637" s="309" t="s">
        <v>2803</v>
      </c>
      <c r="Y637" s="878">
        <f t="shared" si="134"/>
        <v>0</v>
      </c>
      <c r="Z637" s="42">
        <f t="shared" ca="1" si="135"/>
        <v>1</v>
      </c>
      <c r="AA637" s="43">
        <f t="shared" ca="1" si="136"/>
        <v>1</v>
      </c>
      <c r="AB637" s="202" t="str">
        <f t="shared" ca="1" si="137"/>
        <v/>
      </c>
      <c r="AC637" s="44" t="str">
        <f t="shared" si="138"/>
        <v>NO</v>
      </c>
      <c r="AD637" s="894" t="s">
        <v>1715</v>
      </c>
      <c r="AE637" s="897" t="s">
        <v>1257</v>
      </c>
      <c r="AF637" s="897" t="s">
        <v>2409</v>
      </c>
      <c r="AG637" s="173" t="s">
        <v>1443</v>
      </c>
      <c r="AH637" s="894" t="s">
        <v>559</v>
      </c>
      <c r="AI637" s="894" t="s">
        <v>3622</v>
      </c>
      <c r="AJ637" s="305" t="s">
        <v>4055</v>
      </c>
      <c r="AK637" s="181" t="str">
        <f t="shared" ca="1" si="139"/>
        <v>TERMINO</v>
      </c>
      <c r="AL637" s="181" t="s">
        <v>576</v>
      </c>
      <c r="AM637" s="435" t="s">
        <v>391</v>
      </c>
      <c r="AN637" s="872" t="str">
        <f>IFERROR(VLOOKUP(E637,'liquidaciones '!$B$2:$C$1048576,2,0),"NO")</f>
        <v>NO</v>
      </c>
      <c r="AO637" s="972" t="str">
        <f>IFERROR(VLOOKUP(E637,'liquidaciones '!$B$2:$I$1048576,8,0),"")</f>
        <v/>
      </c>
      <c r="AP637" s="435"/>
      <c r="AQ637" s="435" t="s">
        <v>390</v>
      </c>
      <c r="AR637" s="1042" t="s">
        <v>4299</v>
      </c>
      <c r="AS637" s="435" t="s">
        <v>3800</v>
      </c>
      <c r="AT637" s="995" t="s">
        <v>559</v>
      </c>
    </row>
    <row r="638" spans="3:46" ht="56.25" x14ac:dyDescent="0.25">
      <c r="C638" s="893"/>
      <c r="D638" s="893"/>
      <c r="E638" s="894" t="s">
        <v>4140</v>
      </c>
      <c r="F638" s="443" t="s">
        <v>4141</v>
      </c>
      <c r="G638" s="919">
        <v>860403052</v>
      </c>
      <c r="H638" s="1037" t="s">
        <v>4142</v>
      </c>
      <c r="I638" s="93">
        <v>32450000</v>
      </c>
      <c r="J638" s="899" t="s">
        <v>4143</v>
      </c>
      <c r="K638" s="295">
        <v>2018</v>
      </c>
      <c r="L638" s="548">
        <v>43299</v>
      </c>
      <c r="M638" s="548">
        <v>43308</v>
      </c>
      <c r="N638" s="548">
        <v>43399</v>
      </c>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1">
        <f t="shared" si="131"/>
        <v>43399</v>
      </c>
      <c r="U638" s="62">
        <f t="shared" si="132"/>
        <v>32450000</v>
      </c>
      <c r="V638" s="172">
        <f>VLOOKUP(E638,Modificaciones!$B$7:$AU$900,46,0)</f>
        <v>0</v>
      </c>
      <c r="W638" s="93">
        <f t="shared" si="133"/>
        <v>32450000</v>
      </c>
      <c r="X638" s="313" t="s">
        <v>4144</v>
      </c>
      <c r="Y638" s="878">
        <f t="shared" si="134"/>
        <v>0</v>
      </c>
      <c r="Z638" s="42">
        <f t="shared" ca="1" si="135"/>
        <v>0.82417582417582413</v>
      </c>
      <c r="AA638" s="43">
        <f t="shared" ca="1" si="136"/>
        <v>0.82417582417582413</v>
      </c>
      <c r="AB638" s="202">
        <f t="shared" ca="1" si="137"/>
        <v>16</v>
      </c>
      <c r="AC638" s="44" t="str">
        <f t="shared" si="138"/>
        <v>NO</v>
      </c>
      <c r="AD638" s="894" t="s">
        <v>4146</v>
      </c>
      <c r="AE638" s="897" t="s">
        <v>1257</v>
      </c>
      <c r="AF638" s="897" t="s">
        <v>4145</v>
      </c>
      <c r="AG638" s="173" t="s">
        <v>1440</v>
      </c>
      <c r="AH638" s="894" t="s">
        <v>560</v>
      </c>
      <c r="AI638" s="894" t="s">
        <v>1510</v>
      </c>
      <c r="AJ638" s="305" t="s">
        <v>3901</v>
      </c>
      <c r="AK638" s="181" t="str">
        <f t="shared" ca="1" si="139"/>
        <v>EN EJECUCIÓN</v>
      </c>
      <c r="AL638" s="181" t="s">
        <v>576</v>
      </c>
      <c r="AM638" s="435" t="s">
        <v>390</v>
      </c>
      <c r="AN638" s="872" t="str">
        <f>IFERROR(VLOOKUP(E638,'liquidaciones '!$B$2:$C$1048576,2,0),"NO")</f>
        <v>NO</v>
      </c>
      <c r="AO638" s="972" t="str">
        <f>IFERROR(VLOOKUP(E638,'liquidaciones '!$B$2:$I$1048576,8,0),"")</f>
        <v/>
      </c>
      <c r="AP638" s="435"/>
      <c r="AQ638" s="435" t="s">
        <v>390</v>
      </c>
      <c r="AR638" s="1005" t="s">
        <v>4257</v>
      </c>
      <c r="AS638" s="435" t="s">
        <v>3804</v>
      </c>
      <c r="AT638" s="995" t="s">
        <v>560</v>
      </c>
    </row>
    <row r="639" spans="3:46" ht="45" x14ac:dyDescent="0.25">
      <c r="C639" s="893"/>
      <c r="D639" s="893"/>
      <c r="E639" s="894" t="s">
        <v>4147</v>
      </c>
      <c r="F639" s="443" t="s">
        <v>4148</v>
      </c>
      <c r="G639" s="919">
        <v>52911222</v>
      </c>
      <c r="H639" s="1035" t="s">
        <v>2900</v>
      </c>
      <c r="I639" s="93">
        <v>41097000</v>
      </c>
      <c r="J639" s="899" t="s">
        <v>4147</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1">
        <f t="shared" si="131"/>
        <v>43496</v>
      </c>
      <c r="U639" s="62">
        <f t="shared" si="132"/>
        <v>41097000</v>
      </c>
      <c r="V639" s="172">
        <f>VLOOKUP(E639,Modificaciones!$B$7:$AU$900,46,0)</f>
        <v>16634500</v>
      </c>
      <c r="W639" s="93">
        <f t="shared" si="133"/>
        <v>24462500</v>
      </c>
      <c r="X639" s="309" t="s">
        <v>1095</v>
      </c>
      <c r="Y639" s="878">
        <f t="shared" si="134"/>
        <v>0.40476190476190477</v>
      </c>
      <c r="Z639" s="42">
        <f t="shared" ca="1" si="135"/>
        <v>0.45933014354066987</v>
      </c>
      <c r="AA639" s="43">
        <f t="shared" ca="1" si="136"/>
        <v>5.4568238778765099E-2</v>
      </c>
      <c r="AB639" s="202">
        <f t="shared" ca="1" si="137"/>
        <v>113</v>
      </c>
      <c r="AC639" s="44" t="str">
        <f t="shared" si="138"/>
        <v>NO</v>
      </c>
      <c r="AD639" s="762" t="s">
        <v>1714</v>
      </c>
      <c r="AE639" s="173" t="s">
        <v>1257</v>
      </c>
      <c r="AF639" s="173" t="s">
        <v>2500</v>
      </c>
      <c r="AG639" s="173" t="s">
        <v>1431</v>
      </c>
      <c r="AH639" s="281" t="s">
        <v>564</v>
      </c>
      <c r="AI639" s="305"/>
      <c r="AJ639" s="305" t="s">
        <v>3824</v>
      </c>
      <c r="AK639" s="181" t="str">
        <f t="shared" ca="1" si="139"/>
        <v>EN EJECUCIÓN</v>
      </c>
      <c r="AL639" s="310" t="s">
        <v>582</v>
      </c>
      <c r="AM639" s="176" t="s">
        <v>391</v>
      </c>
      <c r="AN639" s="872" t="str">
        <f>IFERROR(VLOOKUP(E639,'liquidaciones '!$B$2:$C$1048576,2,0),"NO")</f>
        <v>NO</v>
      </c>
      <c r="AO639" s="972" t="str">
        <f>IFERROR(VLOOKUP(E639,'liquidaciones '!$B$2:$I$1048576,8,0),"")</f>
        <v/>
      </c>
      <c r="AP639" s="435"/>
      <c r="AQ639" s="177" t="str">
        <f ca="1">IF((TODAY()-T639&lt;900),"SI","NO")</f>
        <v>SI</v>
      </c>
      <c r="AR639" s="435" t="s">
        <v>4278</v>
      </c>
      <c r="AS639" s="435"/>
      <c r="AT639" s="995" t="s">
        <v>564</v>
      </c>
    </row>
    <row r="640" spans="3:46" ht="33.75" x14ac:dyDescent="0.25">
      <c r="C640" s="893">
        <v>154</v>
      </c>
      <c r="D640" s="893"/>
      <c r="E640" s="894" t="s">
        <v>4150</v>
      </c>
      <c r="F640" s="443" t="s">
        <v>1339</v>
      </c>
      <c r="G640" s="933" t="s">
        <v>2729</v>
      </c>
      <c r="H640" s="1035" t="s">
        <v>3720</v>
      </c>
      <c r="I640" s="93">
        <v>88608961</v>
      </c>
      <c r="J640" s="899" t="s">
        <v>4150</v>
      </c>
      <c r="K640" s="295">
        <v>2018</v>
      </c>
      <c r="L640" s="548">
        <v>43280</v>
      </c>
      <c r="M640" s="548">
        <v>43295</v>
      </c>
      <c r="N640" s="548">
        <v>43537</v>
      </c>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1">
        <f t="shared" si="131"/>
        <v>43537</v>
      </c>
      <c r="U640" s="62">
        <f t="shared" si="132"/>
        <v>88608961</v>
      </c>
      <c r="V640" s="172">
        <f>VLOOKUP(E640,Modificaciones!$B$7:$AU$900,46,0)</f>
        <v>0</v>
      </c>
      <c r="W640" s="93">
        <f t="shared" si="133"/>
        <v>88608961</v>
      </c>
      <c r="X640" s="309" t="s">
        <v>2852</v>
      </c>
      <c r="Y640" s="878">
        <f t="shared" si="134"/>
        <v>0</v>
      </c>
      <c r="Z640" s="42">
        <f t="shared" ca="1" si="135"/>
        <v>0.36363636363636365</v>
      </c>
      <c r="AA640" s="43">
        <f t="shared" ca="1" si="136"/>
        <v>0.36363636363636365</v>
      </c>
      <c r="AB640" s="202">
        <f t="shared" ca="1" si="137"/>
        <v>154</v>
      </c>
      <c r="AC640" s="44" t="str">
        <f t="shared" si="138"/>
        <v>NO</v>
      </c>
      <c r="AD640" s="762" t="s">
        <v>1713</v>
      </c>
      <c r="AE640" s="173" t="s">
        <v>1258</v>
      </c>
      <c r="AF640" s="281" t="s">
        <v>1609</v>
      </c>
      <c r="AG640" s="173" t="s">
        <v>1440</v>
      </c>
      <c r="AH640" s="281" t="s">
        <v>560</v>
      </c>
      <c r="AI640" s="305" t="s">
        <v>1510</v>
      </c>
      <c r="AJ640" s="305" t="s">
        <v>3901</v>
      </c>
      <c r="AK640" s="181" t="str">
        <f t="shared" ca="1" si="139"/>
        <v>EN EJECUCIÓN</v>
      </c>
      <c r="AL640" s="310" t="s">
        <v>582</v>
      </c>
      <c r="AM640" s="176" t="s">
        <v>390</v>
      </c>
      <c r="AN640" s="872" t="str">
        <f>IFERROR(VLOOKUP(E640,'liquidaciones '!$B$2:$C$1048576,2,0),"NO")</f>
        <v>NO</v>
      </c>
      <c r="AO640" s="972" t="str">
        <f>IFERROR(VLOOKUP(E640,'liquidaciones '!$B$2:$I$1048576,8,0),"")</f>
        <v/>
      </c>
      <c r="AP640" s="435"/>
      <c r="AQ640" s="435" t="s">
        <v>390</v>
      </c>
      <c r="AR640" s="1005" t="s">
        <v>4257</v>
      </c>
      <c r="AS640" s="435" t="s">
        <v>3804</v>
      </c>
      <c r="AT640" s="995" t="s">
        <v>560</v>
      </c>
    </row>
    <row r="641" spans="3:46" ht="101.25" x14ac:dyDescent="0.25">
      <c r="C641" s="893"/>
      <c r="D641" s="893"/>
      <c r="E641" s="894" t="s">
        <v>4152</v>
      </c>
      <c r="F641" s="443" t="s">
        <v>4153</v>
      </c>
      <c r="G641" s="919">
        <v>900254691</v>
      </c>
      <c r="H641" s="1037" t="s">
        <v>4154</v>
      </c>
      <c r="I641" s="93">
        <v>135000000</v>
      </c>
      <c r="J641" s="899" t="s">
        <v>4157</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1">
        <f t="shared" si="131"/>
        <v>43419</v>
      </c>
      <c r="U641" s="62">
        <f t="shared" si="132"/>
        <v>135000000</v>
      </c>
      <c r="V641" s="172">
        <f>VLOOKUP(E641,Modificaciones!$B$7:$AU$900,46,0)</f>
        <v>104045323</v>
      </c>
      <c r="W641" s="93">
        <f t="shared" si="133"/>
        <v>30954677</v>
      </c>
      <c r="X641" s="315" t="s">
        <v>4155</v>
      </c>
      <c r="Y641" s="878">
        <f t="shared" si="134"/>
        <v>0.77070609629629627</v>
      </c>
      <c r="Z641" s="42">
        <f t="shared" ca="1" si="135"/>
        <v>0.70491803278688525</v>
      </c>
      <c r="AA641" s="43">
        <f t="shared" ca="1" si="136"/>
        <v>-6.5788063509411021E-2</v>
      </c>
      <c r="AB641" s="202">
        <f t="shared" ca="1" si="137"/>
        <v>36</v>
      </c>
      <c r="AC641" s="44" t="str">
        <f t="shared" si="138"/>
        <v>NO</v>
      </c>
      <c r="AD641" s="894" t="s">
        <v>1715</v>
      </c>
      <c r="AE641" s="897" t="s">
        <v>1258</v>
      </c>
      <c r="AF641" s="897" t="s">
        <v>4156</v>
      </c>
      <c r="AG641" s="173" t="s">
        <v>1440</v>
      </c>
      <c r="AH641" s="281" t="s">
        <v>560</v>
      </c>
      <c r="AI641" s="305" t="s">
        <v>1510</v>
      </c>
      <c r="AJ641" s="305" t="s">
        <v>3901</v>
      </c>
      <c r="AK641" s="181" t="str">
        <f t="shared" ca="1" si="139"/>
        <v>EN EJECUCIÓN</v>
      </c>
      <c r="AL641" s="310" t="s">
        <v>575</v>
      </c>
      <c r="AM641" s="435" t="s">
        <v>391</v>
      </c>
      <c r="AN641" s="872" t="str">
        <f>IFERROR(VLOOKUP(E641,'liquidaciones '!$B$2:$C$1048576,2,0),"NO")</f>
        <v>NO</v>
      </c>
      <c r="AO641" s="972" t="str">
        <f>IFERROR(VLOOKUP(E641,'liquidaciones '!$B$2:$I$1048576,8,0),"")</f>
        <v/>
      </c>
      <c r="AP641" s="435"/>
      <c r="AQ641" s="435" t="s">
        <v>390</v>
      </c>
      <c r="AR641" s="1005" t="s">
        <v>4257</v>
      </c>
      <c r="AS641" s="435" t="s">
        <v>3804</v>
      </c>
      <c r="AT641" s="995" t="s">
        <v>560</v>
      </c>
    </row>
    <row r="642" spans="3:46" ht="45" x14ac:dyDescent="0.25">
      <c r="C642" s="893"/>
      <c r="D642" s="893"/>
      <c r="E642" s="894" t="s">
        <v>4166</v>
      </c>
      <c r="F642" s="443" t="s">
        <v>2927</v>
      </c>
      <c r="G642" s="933">
        <v>41690000</v>
      </c>
      <c r="H642" s="1035" t="s">
        <v>2928</v>
      </c>
      <c r="I642" s="93">
        <v>27120000</v>
      </c>
      <c r="J642" s="1055" t="s">
        <v>4199</v>
      </c>
      <c r="K642" s="295">
        <v>2018</v>
      </c>
      <c r="L642" s="548">
        <v>43307</v>
      </c>
      <c r="M642" s="548">
        <v>43313</v>
      </c>
      <c r="N642" s="548">
        <v>43496</v>
      </c>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1">
        <f t="shared" si="131"/>
        <v>43496</v>
      </c>
      <c r="U642" s="62">
        <f t="shared" si="132"/>
        <v>27120000</v>
      </c>
      <c r="V642" s="172">
        <f>VLOOKUP(E642,Modificaciones!$B$7:$AU$900,46,0)</f>
        <v>4520000</v>
      </c>
      <c r="W642" s="93">
        <f t="shared" si="133"/>
        <v>22600000</v>
      </c>
      <c r="X642" s="309" t="s">
        <v>1095</v>
      </c>
      <c r="Y642" s="878">
        <f t="shared" si="134"/>
        <v>0.16666666666666666</v>
      </c>
      <c r="Z642" s="42">
        <f t="shared" ca="1" si="135"/>
        <v>0.38251366120218577</v>
      </c>
      <c r="AA642" s="43">
        <f t="shared" ca="1" si="136"/>
        <v>0.21584699453551912</v>
      </c>
      <c r="AB642" s="202">
        <f t="shared" ca="1" si="137"/>
        <v>113</v>
      </c>
      <c r="AC642" s="44" t="str">
        <f t="shared" si="138"/>
        <v>NO</v>
      </c>
      <c r="AD642" s="762" t="s">
        <v>1714</v>
      </c>
      <c r="AE642" s="173" t="s">
        <v>1257</v>
      </c>
      <c r="AF642" s="173" t="s">
        <v>2182</v>
      </c>
      <c r="AG642" s="173" t="s">
        <v>1440</v>
      </c>
      <c r="AH642" s="281" t="s">
        <v>560</v>
      </c>
      <c r="AI642" s="894"/>
      <c r="AJ642" s="305" t="s">
        <v>4014</v>
      </c>
      <c r="AK642" s="181" t="str">
        <f t="shared" ca="1" si="139"/>
        <v>EN EJECUCIÓN</v>
      </c>
      <c r="AL642" s="181" t="s">
        <v>582</v>
      </c>
      <c r="AM642" s="435" t="s">
        <v>391</v>
      </c>
      <c r="AN642" s="872" t="str">
        <f>IFERROR(VLOOKUP(E642,'liquidaciones '!$B$2:$C$1048576,2,0),"NO")</f>
        <v>NO</v>
      </c>
      <c r="AO642" s="972" t="str">
        <f>IFERROR(VLOOKUP(E642,'liquidaciones '!$B$2:$I$1048576,8,0),"")</f>
        <v/>
      </c>
      <c r="AP642" s="435"/>
      <c r="AQ642" s="435" t="s">
        <v>390</v>
      </c>
      <c r="AR642" s="1005" t="s">
        <v>4302</v>
      </c>
      <c r="AS642" s="435"/>
      <c r="AT642" s="995" t="s">
        <v>4167</v>
      </c>
    </row>
    <row r="643" spans="3:46" ht="45" x14ac:dyDescent="0.25">
      <c r="C643" s="893">
        <v>73</v>
      </c>
      <c r="D643" s="893"/>
      <c r="E643" s="894" t="s">
        <v>4169</v>
      </c>
      <c r="F643" s="443" t="s">
        <v>4170</v>
      </c>
      <c r="G643" s="919">
        <v>1032424231</v>
      </c>
      <c r="H643" s="1035" t="s">
        <v>2493</v>
      </c>
      <c r="I643" s="93">
        <v>32814000</v>
      </c>
      <c r="J643" s="889" t="s">
        <v>4204</v>
      </c>
      <c r="K643" s="295">
        <v>2018</v>
      </c>
      <c r="L643" s="548">
        <v>43311</v>
      </c>
      <c r="M643" s="548">
        <v>43313</v>
      </c>
      <c r="N643" s="548">
        <v>43496</v>
      </c>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1">
        <f t="shared" si="131"/>
        <v>43496</v>
      </c>
      <c r="U643" s="62">
        <f t="shared" si="132"/>
        <v>32814000</v>
      </c>
      <c r="V643" s="172">
        <f>VLOOKUP(E643,Modificaciones!$B$7:$AU$900,46,0)</f>
        <v>5469000</v>
      </c>
      <c r="W643" s="93">
        <f t="shared" si="133"/>
        <v>27345000</v>
      </c>
      <c r="X643" s="309" t="s">
        <v>1095</v>
      </c>
      <c r="Y643" s="878">
        <f t="shared" si="134"/>
        <v>0.16666666666666666</v>
      </c>
      <c r="Z643" s="42">
        <f t="shared" ca="1" si="135"/>
        <v>0.38251366120218577</v>
      </c>
      <c r="AA643" s="43">
        <f t="shared" ca="1" si="136"/>
        <v>0.21584699453551912</v>
      </c>
      <c r="AB643" s="202">
        <f t="shared" ca="1" si="137"/>
        <v>113</v>
      </c>
      <c r="AC643" s="44" t="str">
        <f t="shared" si="138"/>
        <v>NO</v>
      </c>
      <c r="AD643" s="762" t="s">
        <v>1714</v>
      </c>
      <c r="AE643" s="173" t="s">
        <v>1257</v>
      </c>
      <c r="AF643" s="173" t="s">
        <v>2494</v>
      </c>
      <c r="AG643" s="173" t="s">
        <v>1431</v>
      </c>
      <c r="AH643" s="281" t="s">
        <v>564</v>
      </c>
      <c r="AI643" s="305"/>
      <c r="AJ643" s="305" t="s">
        <v>3824</v>
      </c>
      <c r="AK643" s="181" t="str">
        <f t="shared" ca="1" si="139"/>
        <v>EN EJECUCIÓN</v>
      </c>
      <c r="AL643" s="181" t="s">
        <v>582</v>
      </c>
      <c r="AM643" s="435" t="s">
        <v>391</v>
      </c>
      <c r="AN643" s="872" t="str">
        <f>IFERROR(VLOOKUP(E643,'liquidaciones '!$B$2:$C$1048576,2,0),"NO")</f>
        <v>NO</v>
      </c>
      <c r="AO643" s="972" t="str">
        <f>IFERROR(VLOOKUP(E643,'liquidaciones '!$B$2:$I$1048576,8,0),"")</f>
        <v/>
      </c>
      <c r="AP643" s="435"/>
      <c r="AQ643" s="435" t="s">
        <v>390</v>
      </c>
      <c r="AR643" s="1005" t="s">
        <v>1511</v>
      </c>
      <c r="AS643" s="435"/>
      <c r="AT643" s="995" t="s">
        <v>564</v>
      </c>
    </row>
    <row r="644" spans="3:46" ht="180" x14ac:dyDescent="0.25">
      <c r="C644" s="893">
        <v>82</v>
      </c>
      <c r="D644" s="893"/>
      <c r="E644" s="894" t="s">
        <v>4171</v>
      </c>
      <c r="F644" s="443" t="s">
        <v>2439</v>
      </c>
      <c r="G644" s="930">
        <v>900475780</v>
      </c>
      <c r="H644" s="1033" t="s">
        <v>3713</v>
      </c>
      <c r="I644" s="93">
        <v>2414107000</v>
      </c>
      <c r="J644" s="889" t="s">
        <v>4207</v>
      </c>
      <c r="K644" s="295">
        <v>2018</v>
      </c>
      <c r="L644" s="548">
        <v>43312</v>
      </c>
      <c r="M644" s="548">
        <v>43313</v>
      </c>
      <c r="N644" s="548">
        <v>43488</v>
      </c>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1">
        <f t="shared" si="131"/>
        <v>43488</v>
      </c>
      <c r="U644" s="62">
        <f t="shared" si="132"/>
        <v>2414107000</v>
      </c>
      <c r="V644" s="172">
        <f>VLOOKUP(E644,Modificaciones!$B$7:$AU$900,46,0)</f>
        <v>0</v>
      </c>
      <c r="W644" s="93">
        <f t="shared" si="133"/>
        <v>2414107000</v>
      </c>
      <c r="X644" s="315" t="s">
        <v>4172</v>
      </c>
      <c r="Y644" s="878">
        <f t="shared" si="134"/>
        <v>0</v>
      </c>
      <c r="Z644" s="42">
        <f t="shared" ca="1" si="135"/>
        <v>0.4</v>
      </c>
      <c r="AA644" s="43">
        <f t="shared" ca="1" si="136"/>
        <v>0.4</v>
      </c>
      <c r="AB644" s="202">
        <f t="shared" ca="1" si="137"/>
        <v>105</v>
      </c>
      <c r="AC644" s="44" t="str">
        <f t="shared" si="138"/>
        <v>NO</v>
      </c>
      <c r="AD644" s="762" t="s">
        <v>1722</v>
      </c>
      <c r="AE644" s="173" t="s">
        <v>1257</v>
      </c>
      <c r="AF644" s="281" t="s">
        <v>1509</v>
      </c>
      <c r="AG644" s="173" t="s">
        <v>1443</v>
      </c>
      <c r="AH644" s="894"/>
      <c r="AI644" s="894"/>
      <c r="AJ644" s="305" t="s">
        <v>2845</v>
      </c>
      <c r="AK644" s="181" t="str">
        <f t="shared" ca="1" si="139"/>
        <v>EN EJECUCIÓN</v>
      </c>
      <c r="AL644" s="181" t="s">
        <v>582</v>
      </c>
      <c r="AM644" s="435" t="s">
        <v>390</v>
      </c>
      <c r="AN644" s="872" t="str">
        <f>IFERROR(VLOOKUP(E644,'liquidaciones '!$B$2:$C$1048576,2,0),"NO")</f>
        <v>NO</v>
      </c>
      <c r="AO644" s="972" t="str">
        <f>IFERROR(VLOOKUP(E644,'liquidaciones '!$B$2:$I$1048576,8,0),"")</f>
        <v/>
      </c>
      <c r="AP644" s="435"/>
      <c r="AQ644" s="435" t="s">
        <v>390</v>
      </c>
      <c r="AR644" s="1005" t="s">
        <v>4279</v>
      </c>
      <c r="AS644" s="435"/>
      <c r="AT644" s="995" t="s">
        <v>3968</v>
      </c>
    </row>
    <row r="645" spans="3:46" ht="78.75" x14ac:dyDescent="0.25">
      <c r="C645" s="893">
        <v>192</v>
      </c>
      <c r="D645" s="893"/>
      <c r="E645" s="894" t="s">
        <v>4173</v>
      </c>
      <c r="F645" s="443" t="s">
        <v>4174</v>
      </c>
      <c r="G645" s="919">
        <v>35510194</v>
      </c>
      <c r="H645" s="1033" t="s">
        <v>4175</v>
      </c>
      <c r="I645" s="93">
        <v>32812164</v>
      </c>
      <c r="J645" s="889" t="s">
        <v>4200</v>
      </c>
      <c r="K645" s="295">
        <v>2018</v>
      </c>
      <c r="L645" s="548">
        <v>43311</v>
      </c>
      <c r="M645" s="548">
        <v>43313</v>
      </c>
      <c r="N645" s="548">
        <v>43496</v>
      </c>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1">
        <f t="shared" si="131"/>
        <v>43496</v>
      </c>
      <c r="U645" s="62">
        <f t="shared" si="132"/>
        <v>32812164</v>
      </c>
      <c r="V645" s="172">
        <f>VLOOKUP(E645,Modificaciones!$B$7:$AU$900,46,0)</f>
        <v>10937388</v>
      </c>
      <c r="W645" s="93">
        <f t="shared" si="133"/>
        <v>21874776</v>
      </c>
      <c r="X645" s="309" t="s">
        <v>1095</v>
      </c>
      <c r="Y645" s="878">
        <f t="shared" si="134"/>
        <v>0.33333333333333331</v>
      </c>
      <c r="Z645" s="42">
        <f t="shared" ca="1" si="135"/>
        <v>0.38251366120218577</v>
      </c>
      <c r="AA645" s="43">
        <f t="shared" ca="1" si="136"/>
        <v>4.9180327868852458E-2</v>
      </c>
      <c r="AB645" s="202">
        <f t="shared" ca="1" si="137"/>
        <v>113</v>
      </c>
      <c r="AC645" s="44" t="str">
        <f t="shared" si="138"/>
        <v>NO</v>
      </c>
      <c r="AD645" s="762" t="s">
        <v>1714</v>
      </c>
      <c r="AE645" s="173" t="s">
        <v>1258</v>
      </c>
      <c r="AF645" s="173" t="s">
        <v>2176</v>
      </c>
      <c r="AG645" s="173" t="s">
        <v>1440</v>
      </c>
      <c r="AH645" s="281" t="s">
        <v>560</v>
      </c>
      <c r="AI645" s="305" t="s">
        <v>1510</v>
      </c>
      <c r="AJ645" s="305" t="s">
        <v>3901</v>
      </c>
      <c r="AK645" s="181" t="str">
        <f t="shared" ca="1" si="139"/>
        <v>EN EJECUCIÓN</v>
      </c>
      <c r="AL645" s="181" t="s">
        <v>582</v>
      </c>
      <c r="AM645" s="435" t="s">
        <v>390</v>
      </c>
      <c r="AN645" s="872" t="str">
        <f>IFERROR(VLOOKUP(E645,'liquidaciones '!$B$2:$C$1048576,2,0),"NO")</f>
        <v>NO</v>
      </c>
      <c r="AO645" s="972" t="str">
        <f>IFERROR(VLOOKUP(E645,'liquidaciones '!$B$2:$I$1048576,8,0),"")</f>
        <v/>
      </c>
      <c r="AP645" s="435"/>
      <c r="AQ645" s="435" t="s">
        <v>390</v>
      </c>
      <c r="AR645" s="1005" t="s">
        <v>3069</v>
      </c>
      <c r="AS645" s="435" t="s">
        <v>3804</v>
      </c>
      <c r="AT645" s="995" t="s">
        <v>560</v>
      </c>
    </row>
    <row r="646" spans="3:46" ht="56.25" x14ac:dyDescent="0.25">
      <c r="C646" s="893">
        <v>114</v>
      </c>
      <c r="D646" s="893"/>
      <c r="E646" s="894" t="s">
        <v>4176</v>
      </c>
      <c r="F646" s="443" t="s">
        <v>3747</v>
      </c>
      <c r="G646" s="919">
        <v>860049921</v>
      </c>
      <c r="H646" s="1037" t="s">
        <v>4177</v>
      </c>
      <c r="I646" s="93">
        <v>9055900</v>
      </c>
      <c r="J646" s="899" t="s">
        <v>4208</v>
      </c>
      <c r="K646" s="295">
        <v>2018</v>
      </c>
      <c r="L646" s="548">
        <v>43299</v>
      </c>
      <c r="M646" s="548">
        <v>43315</v>
      </c>
      <c r="N646" s="548">
        <v>43436</v>
      </c>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1">
        <f t="shared" ref="T646:T675" si="140">MAX(N646,S646)</f>
        <v>43436</v>
      </c>
      <c r="U646" s="62">
        <f t="shared" ref="U646:U675" si="141">I646+P646</f>
        <v>9055900</v>
      </c>
      <c r="V646" s="172">
        <f>VLOOKUP(E646,Modificaciones!$B$7:$AU$900,46,0)</f>
        <v>0</v>
      </c>
      <c r="W646" s="93">
        <f t="shared" ref="W646:W675" si="142">U646-V646</f>
        <v>9055900</v>
      </c>
      <c r="X646" s="309" t="s">
        <v>3580</v>
      </c>
      <c r="Y646" s="878">
        <f t="shared" ref="Y646:Y675" si="143">(V646*100%)/U646</f>
        <v>0</v>
      </c>
      <c r="Z646" s="42">
        <f t="shared" ref="Z646:Z675" ca="1" si="144">IF((($F$3-M646)*100%/(T646-M646))&gt;100%,100%,(($F$3-M646)*100%/(T646-M646)))</f>
        <v>0.56198347107438018</v>
      </c>
      <c r="AA646" s="43">
        <f t="shared" ref="AA646:AA675" ca="1" si="145">Z646-Y646</f>
        <v>0.56198347107438018</v>
      </c>
      <c r="AB646" s="202">
        <f t="shared" ref="AB646:AB675" ca="1" si="146">IF(Z646&lt;100%,T646-$F$3,"")</f>
        <v>53</v>
      </c>
      <c r="AC646" s="44" t="str">
        <f t="shared" ref="AC646:AC675" si="147">IF(Y646&lt;=99.9%,"NO","SI")</f>
        <v>NO</v>
      </c>
      <c r="AD646" s="762" t="s">
        <v>2574</v>
      </c>
      <c r="AE646" s="173" t="s">
        <v>1257</v>
      </c>
      <c r="AF646" s="281" t="s">
        <v>1977</v>
      </c>
      <c r="AG646" s="173"/>
      <c r="AH646" s="281" t="s">
        <v>563</v>
      </c>
      <c r="AI646" s="894"/>
      <c r="AJ646" s="305" t="s">
        <v>4055</v>
      </c>
      <c r="AK646" s="181" t="str">
        <f t="shared" ref="AK646:AK675" ca="1" si="148">IF(T646&gt;=$F$3,"EN EJECUCIÓN","TERMINO")</f>
        <v>EN EJECUCIÓN</v>
      </c>
      <c r="AL646" s="310" t="s">
        <v>582</v>
      </c>
      <c r="AM646" s="435" t="s">
        <v>390</v>
      </c>
      <c r="AN646" s="872" t="str">
        <f>IFERROR(VLOOKUP(E646,'liquidaciones '!$B$2:$C$1048576,2,0),"NO")</f>
        <v>NO</v>
      </c>
      <c r="AO646" s="972" t="str">
        <f>IFERROR(VLOOKUP(E646,'liquidaciones '!$B$2:$I$1048576,8,0),"")</f>
        <v/>
      </c>
      <c r="AP646" s="435"/>
      <c r="AQ646" s="435" t="s">
        <v>390</v>
      </c>
      <c r="AR646" s="1018" t="s">
        <v>4302</v>
      </c>
      <c r="AS646" s="435"/>
      <c r="AT646" s="995" t="s">
        <v>4178</v>
      </c>
    </row>
    <row r="647" spans="3:46" ht="45" x14ac:dyDescent="0.25">
      <c r="C647" s="893"/>
      <c r="D647" s="893"/>
      <c r="E647" s="894" t="s">
        <v>4179</v>
      </c>
      <c r="F647" s="443" t="s">
        <v>4180</v>
      </c>
      <c r="G647" s="919">
        <v>1098792121</v>
      </c>
      <c r="H647" s="1037" t="s">
        <v>4181</v>
      </c>
      <c r="I647" s="93">
        <v>18750000</v>
      </c>
      <c r="J647" s="899" t="s">
        <v>4211</v>
      </c>
      <c r="K647" s="295">
        <v>2018</v>
      </c>
      <c r="L647" s="548">
        <v>43311</v>
      </c>
      <c r="M647" s="548">
        <v>43313</v>
      </c>
      <c r="N647" s="548">
        <v>43496</v>
      </c>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1">
        <f t="shared" si="140"/>
        <v>43496</v>
      </c>
      <c r="U647" s="62">
        <f t="shared" si="141"/>
        <v>18750000</v>
      </c>
      <c r="V647" s="172">
        <f>VLOOKUP(E647,Modificaciones!$B$7:$AU$900,46,0)</f>
        <v>3125000</v>
      </c>
      <c r="W647" s="93">
        <f t="shared" si="142"/>
        <v>15625000</v>
      </c>
      <c r="X647" s="309" t="s">
        <v>1095</v>
      </c>
      <c r="Y647" s="878">
        <f t="shared" si="143"/>
        <v>0.16666666666666666</v>
      </c>
      <c r="Z647" s="42">
        <f t="shared" ca="1" si="144"/>
        <v>0.38251366120218577</v>
      </c>
      <c r="AA647" s="43">
        <f t="shared" ca="1" si="145"/>
        <v>0.21584699453551912</v>
      </c>
      <c r="AB647" s="202">
        <f t="shared" ca="1" si="146"/>
        <v>113</v>
      </c>
      <c r="AC647" s="44" t="str">
        <f t="shared" si="147"/>
        <v>NO</v>
      </c>
      <c r="AD647" s="762" t="s">
        <v>1714</v>
      </c>
      <c r="AE647" s="173" t="s">
        <v>1257</v>
      </c>
      <c r="AF647" s="173" t="s">
        <v>2494</v>
      </c>
      <c r="AG647" s="173" t="s">
        <v>1178</v>
      </c>
      <c r="AH647" s="281" t="s">
        <v>559</v>
      </c>
      <c r="AI647" s="174"/>
      <c r="AJ647" s="305" t="s">
        <v>4055</v>
      </c>
      <c r="AK647" s="181" t="str">
        <f t="shared" ca="1" si="148"/>
        <v>EN EJECUCIÓN</v>
      </c>
      <c r="AL647" s="310" t="s">
        <v>582</v>
      </c>
      <c r="AM647" s="435" t="s">
        <v>391</v>
      </c>
      <c r="AN647" s="872" t="str">
        <f>IFERROR(VLOOKUP(E647,'liquidaciones '!$B$2:$C$1048576,2,0),"NO")</f>
        <v>NO</v>
      </c>
      <c r="AO647" s="972" t="str">
        <f>IFERROR(VLOOKUP(E647,'liquidaciones '!$B$2:$I$1048576,8,0),"")</f>
        <v/>
      </c>
      <c r="AP647" s="435"/>
      <c r="AQ647" s="435" t="s">
        <v>390</v>
      </c>
      <c r="AR647" s="1018" t="s">
        <v>3069</v>
      </c>
      <c r="AS647" s="435"/>
      <c r="AT647" s="995" t="s">
        <v>3968</v>
      </c>
    </row>
    <row r="648" spans="3:46" ht="56.25" x14ac:dyDescent="0.25">
      <c r="C648" s="893">
        <v>108</v>
      </c>
      <c r="D648" s="893"/>
      <c r="E648" s="894" t="s">
        <v>4182</v>
      </c>
      <c r="F648" s="443" t="s">
        <v>4183</v>
      </c>
      <c r="G648" s="919">
        <v>39812526</v>
      </c>
      <c r="H648" s="1037" t="s">
        <v>4184</v>
      </c>
      <c r="I648" s="93">
        <v>32814000</v>
      </c>
      <c r="J648" s="899" t="s">
        <v>4210</v>
      </c>
      <c r="K648" s="295">
        <v>2018</v>
      </c>
      <c r="L648" s="548">
        <v>43313</v>
      </c>
      <c r="M648" s="548">
        <v>43315</v>
      </c>
      <c r="N648" s="548">
        <v>43496</v>
      </c>
      <c r="O648" s="127">
        <f>COUNTA(Modificaciones!I634,Modificaciones!K634,Modificaciones!M634,Modificaciones!O634)</f>
        <v>0</v>
      </c>
      <c r="P648" s="128">
        <f>VLOOKUP(E648,Modificaciones!$B$7:$Q$900,16,0)</f>
        <v>0</v>
      </c>
      <c r="Q648" s="129">
        <f>COUNTA(Modificaciones!S648,Modificaciones!U648,Modificaciones!W648,Modificaciones!Y648)</f>
        <v>0</v>
      </c>
      <c r="R648" s="130" t="str">
        <f>IF(Modificaciones!Z648=0,"",VLOOKUP(E648,Modificaciones!$B$7:$AA$500,25,0))</f>
        <v/>
      </c>
      <c r="S648" s="131" t="str">
        <f>IF(Modificaciones!AA648=0,"",VLOOKUP(E648,Modificaciones!$B$7:$AA$500,26,0))</f>
        <v/>
      </c>
      <c r="T648" s="881">
        <f t="shared" si="140"/>
        <v>43496</v>
      </c>
      <c r="U648" s="62">
        <f t="shared" si="141"/>
        <v>32814000</v>
      </c>
      <c r="V648" s="172">
        <f>VLOOKUP(E648,Modificaciones!$B$7:$AU$900,46,0)</f>
        <v>5104400</v>
      </c>
      <c r="W648" s="93">
        <f t="shared" si="142"/>
        <v>27709600</v>
      </c>
      <c r="X648" s="309" t="s">
        <v>1095</v>
      </c>
      <c r="Y648" s="878">
        <f t="shared" si="143"/>
        <v>0.15555555555555556</v>
      </c>
      <c r="Z648" s="42">
        <f t="shared" ca="1" si="144"/>
        <v>0.37569060773480661</v>
      </c>
      <c r="AA648" s="43">
        <f t="shared" ca="1" si="145"/>
        <v>0.22013505217925106</v>
      </c>
      <c r="AB648" s="202">
        <f t="shared" ca="1" si="146"/>
        <v>113</v>
      </c>
      <c r="AC648" s="44" t="str">
        <f t="shared" si="147"/>
        <v>NO</v>
      </c>
      <c r="AD648" s="762" t="s">
        <v>1714</v>
      </c>
      <c r="AE648" s="173" t="s">
        <v>1257</v>
      </c>
      <c r="AF648" s="173" t="s">
        <v>2491</v>
      </c>
      <c r="AG648" s="173"/>
      <c r="AH648" s="281" t="s">
        <v>562</v>
      </c>
      <c r="AI648" s="305"/>
      <c r="AJ648" s="305" t="s">
        <v>4014</v>
      </c>
      <c r="AK648" s="181" t="str">
        <f t="shared" ca="1" si="148"/>
        <v>EN EJECUCIÓN</v>
      </c>
      <c r="AL648" s="310" t="s">
        <v>582</v>
      </c>
      <c r="AM648" s="176" t="s">
        <v>391</v>
      </c>
      <c r="AN648" s="872" t="str">
        <f>IFERROR(VLOOKUP(E648,'liquidaciones '!$B$2:$C$1048576,2,0),"NO")</f>
        <v>NO</v>
      </c>
      <c r="AO648" s="972" t="str">
        <f>IFERROR(VLOOKUP(E648,'liquidaciones '!$B$2:$I$1048576,8,0),"")</f>
        <v/>
      </c>
      <c r="AP648" s="435"/>
      <c r="AQ648" s="435" t="s">
        <v>390</v>
      </c>
      <c r="AR648" s="435" t="s">
        <v>3069</v>
      </c>
      <c r="AS648" s="435"/>
      <c r="AT648" s="995" t="s">
        <v>4015</v>
      </c>
    </row>
    <row r="649" spans="3:46" ht="33.75" x14ac:dyDescent="0.25">
      <c r="C649" s="893"/>
      <c r="D649" s="893"/>
      <c r="E649" s="894" t="s">
        <v>4185</v>
      </c>
      <c r="F649" s="443" t="s">
        <v>4186</v>
      </c>
      <c r="G649" s="919">
        <v>92030702</v>
      </c>
      <c r="H649" s="1037" t="s">
        <v>4187</v>
      </c>
      <c r="I649" s="93">
        <v>32814000</v>
      </c>
      <c r="J649" s="899" t="s">
        <v>4209</v>
      </c>
      <c r="K649" s="295">
        <v>2018</v>
      </c>
      <c r="L649" s="548">
        <v>43313</v>
      </c>
      <c r="M649" s="548">
        <v>43315</v>
      </c>
      <c r="N649" s="548">
        <v>43496</v>
      </c>
      <c r="O649" s="127">
        <f>COUNTA(Modificaciones!I635,Modificaciones!K635,Modificaciones!M635,Modificaciones!O635)</f>
        <v>0</v>
      </c>
      <c r="P649" s="128">
        <f>VLOOKUP(E649,Modificaciones!$B$7:$Q$900,16,0)</f>
        <v>0</v>
      </c>
      <c r="Q649" s="129">
        <f>COUNTA(Modificaciones!S649,Modificaciones!U649,Modificaciones!W649,Modificaciones!Y649)</f>
        <v>0</v>
      </c>
      <c r="R649" s="130" t="str">
        <f>IF(Modificaciones!Z649=0,"",VLOOKUP(E649,Modificaciones!$B$7:$AA$500,25,0))</f>
        <v/>
      </c>
      <c r="S649" s="131" t="str">
        <f>IF(Modificaciones!AA649=0,"",VLOOKUP(E649,Modificaciones!$B$7:$AA$500,26,0))</f>
        <v/>
      </c>
      <c r="T649" s="881">
        <f t="shared" si="140"/>
        <v>43496</v>
      </c>
      <c r="U649" s="62">
        <f t="shared" si="141"/>
        <v>32814000</v>
      </c>
      <c r="V649" s="172">
        <f>VLOOKUP(E649,Modificaciones!$B$7:$AU$900,46,0)</f>
        <v>0</v>
      </c>
      <c r="W649" s="93">
        <f t="shared" si="142"/>
        <v>32814000</v>
      </c>
      <c r="X649" s="309" t="s">
        <v>1095</v>
      </c>
      <c r="Y649" s="878">
        <f t="shared" si="143"/>
        <v>0</v>
      </c>
      <c r="Z649" s="42">
        <f t="shared" ca="1" si="144"/>
        <v>0.37569060773480661</v>
      </c>
      <c r="AA649" s="43">
        <f t="shared" ca="1" si="145"/>
        <v>0.37569060773480661</v>
      </c>
      <c r="AB649" s="202">
        <f t="shared" ca="1" si="146"/>
        <v>113</v>
      </c>
      <c r="AC649" s="44" t="str">
        <f t="shared" si="147"/>
        <v>NO</v>
      </c>
      <c r="AD649" s="762" t="s">
        <v>1714</v>
      </c>
      <c r="AE649" s="173" t="s">
        <v>1257</v>
      </c>
      <c r="AF649" s="173" t="s">
        <v>2497</v>
      </c>
      <c r="AG649" s="173" t="s">
        <v>2504</v>
      </c>
      <c r="AH649" s="281" t="s">
        <v>565</v>
      </c>
      <c r="AI649" s="305"/>
      <c r="AJ649" s="305" t="s">
        <v>4055</v>
      </c>
      <c r="AK649" s="181" t="str">
        <f t="shared" ca="1" si="148"/>
        <v>EN EJECUCIÓN</v>
      </c>
      <c r="AL649" s="310" t="s">
        <v>582</v>
      </c>
      <c r="AM649" s="176" t="s">
        <v>391</v>
      </c>
      <c r="AN649" s="872" t="str">
        <f>IFERROR(VLOOKUP(E649,'liquidaciones '!$B$2:$C$1048576,2,0),"NO")</f>
        <v>NO</v>
      </c>
      <c r="AO649" s="972" t="str">
        <f>IFERROR(VLOOKUP(E649,'liquidaciones '!$B$2:$I$1048576,8,0),"")</f>
        <v/>
      </c>
      <c r="AP649" s="435"/>
      <c r="AQ649" s="177" t="s">
        <v>390</v>
      </c>
      <c r="AR649" s="435" t="s">
        <v>3069</v>
      </c>
      <c r="AS649" s="435"/>
      <c r="AT649" s="995" t="s">
        <v>3968</v>
      </c>
    </row>
    <row r="650" spans="3:46" ht="33.75" x14ac:dyDescent="0.25">
      <c r="C650" s="893"/>
      <c r="D650" s="893"/>
      <c r="E650" s="894" t="s">
        <v>4188</v>
      </c>
      <c r="F650" s="443" t="s">
        <v>4189</v>
      </c>
      <c r="G650" s="919">
        <v>1013610856</v>
      </c>
      <c r="H650" s="1037" t="s">
        <v>4190</v>
      </c>
      <c r="I650" s="93">
        <v>21286909</v>
      </c>
      <c r="J650" s="889" t="s">
        <v>4205</v>
      </c>
      <c r="K650" s="295">
        <v>2018</v>
      </c>
      <c r="L650" s="548">
        <v>43313</v>
      </c>
      <c r="M650" s="548">
        <v>43315</v>
      </c>
      <c r="N650" s="548">
        <v>43496</v>
      </c>
      <c r="O650" s="127">
        <f>COUNTA(Modificaciones!I636,Modificaciones!K636,Modificaciones!M636,Modificaciones!O636)</f>
        <v>0</v>
      </c>
      <c r="P650" s="128">
        <f>VLOOKUP(E650,Modificaciones!$B$7:$Q$900,16,0)</f>
        <v>0</v>
      </c>
      <c r="Q650" s="129">
        <f>COUNTA(Modificaciones!S650,Modificaciones!U650,Modificaciones!W650,Modificaciones!Y650)</f>
        <v>0</v>
      </c>
      <c r="R650" s="130" t="str">
        <f>IF(Modificaciones!Z650=0,"",VLOOKUP(E650,Modificaciones!$B$7:$AA$500,25,0))</f>
        <v/>
      </c>
      <c r="S650" s="131" t="str">
        <f>IF(Modificaciones!AA650=0,"",VLOOKUP(E650,Modificaciones!$B$7:$AA$500,26,0))</f>
        <v/>
      </c>
      <c r="T650" s="881">
        <f t="shared" si="140"/>
        <v>43496</v>
      </c>
      <c r="U650" s="62">
        <f t="shared" si="141"/>
        <v>21286909</v>
      </c>
      <c r="V650" s="172">
        <f>VLOOKUP(E650,Modificaciones!$B$7:$AU$900,46,0)</f>
        <v>6859115</v>
      </c>
      <c r="W650" s="93">
        <f t="shared" si="142"/>
        <v>14427794</v>
      </c>
      <c r="X650" s="309" t="s">
        <v>1095</v>
      </c>
      <c r="Y650" s="878">
        <f t="shared" si="143"/>
        <v>0.32222221648056087</v>
      </c>
      <c r="Z650" s="42">
        <f t="shared" ca="1" si="144"/>
        <v>0.37569060773480661</v>
      </c>
      <c r="AA650" s="43">
        <f t="shared" ca="1" si="145"/>
        <v>5.346839125424574E-2</v>
      </c>
      <c r="AB650" s="202">
        <f t="shared" ca="1" si="146"/>
        <v>113</v>
      </c>
      <c r="AC650" s="44" t="str">
        <f t="shared" si="147"/>
        <v>NO</v>
      </c>
      <c r="AD650" s="762" t="s">
        <v>1714</v>
      </c>
      <c r="AE650" s="173" t="s">
        <v>1257</v>
      </c>
      <c r="AF650" s="173" t="s">
        <v>2182</v>
      </c>
      <c r="AG650" s="173" t="s">
        <v>1440</v>
      </c>
      <c r="AH650" s="281" t="s">
        <v>560</v>
      </c>
      <c r="AI650" s="305" t="s">
        <v>1510</v>
      </c>
      <c r="AJ650" s="305" t="s">
        <v>3901</v>
      </c>
      <c r="AK650" s="181" t="str">
        <f t="shared" ca="1" si="148"/>
        <v>EN EJECUCIÓN</v>
      </c>
      <c r="AL650" s="181" t="s">
        <v>582</v>
      </c>
      <c r="AM650" s="435" t="s">
        <v>391</v>
      </c>
      <c r="AN650" s="872" t="str">
        <f>IFERROR(VLOOKUP(E650,'liquidaciones '!$B$2:$C$1048576,2,0),"NO")</f>
        <v>NO</v>
      </c>
      <c r="AO650" s="972" t="str">
        <f>IFERROR(VLOOKUP(E650,'liquidaciones '!$B$2:$I$1048576,8,0),"")</f>
        <v/>
      </c>
      <c r="AP650" s="435"/>
      <c r="AQ650" s="177" t="s">
        <v>390</v>
      </c>
      <c r="AR650" s="1018" t="s">
        <v>3069</v>
      </c>
      <c r="AS650" s="435" t="s">
        <v>3804</v>
      </c>
      <c r="AT650" s="995" t="s">
        <v>560</v>
      </c>
    </row>
    <row r="651" spans="3:46" ht="56.25" x14ac:dyDescent="0.25">
      <c r="C651" s="893"/>
      <c r="D651" s="893"/>
      <c r="E651" s="894" t="s">
        <v>4191</v>
      </c>
      <c r="F651" s="443" t="s">
        <v>4192</v>
      </c>
      <c r="G651" s="919">
        <v>79629653</v>
      </c>
      <c r="H651" s="1035" t="s">
        <v>1546</v>
      </c>
      <c r="I651" s="93">
        <v>37500000</v>
      </c>
      <c r="J651" s="889" t="s">
        <v>4201</v>
      </c>
      <c r="K651" s="295">
        <v>2018</v>
      </c>
      <c r="L651" s="548">
        <v>43313</v>
      </c>
      <c r="M651" s="548">
        <v>43315</v>
      </c>
      <c r="N651" s="548">
        <v>43496</v>
      </c>
      <c r="O651" s="127">
        <f>COUNTA(Modificaciones!I637,Modificaciones!K637,Modificaciones!M637,Modificaciones!O637)</f>
        <v>0</v>
      </c>
      <c r="P651" s="128">
        <f>VLOOKUP(E651,Modificaciones!$B$7:$Q$900,16,0)</f>
        <v>0</v>
      </c>
      <c r="Q651" s="129">
        <f>COUNTA(Modificaciones!S651,Modificaciones!U651,Modificaciones!W651,Modificaciones!Y651)</f>
        <v>0</v>
      </c>
      <c r="R651" s="130" t="str">
        <f>IF(Modificaciones!Z651=0,"",VLOOKUP(E651,Modificaciones!$B$7:$AA$500,25,0))</f>
        <v/>
      </c>
      <c r="S651" s="131" t="str">
        <f>IF(Modificaciones!AA651=0,"",VLOOKUP(E651,Modificaciones!$B$7:$AA$500,26,0))</f>
        <v/>
      </c>
      <c r="T651" s="881">
        <f t="shared" si="140"/>
        <v>43496</v>
      </c>
      <c r="U651" s="62">
        <f t="shared" si="141"/>
        <v>37500000</v>
      </c>
      <c r="V651" s="172">
        <f>VLOOKUP(E651,Modificaciones!$B$7:$AU$900,46,0)</f>
        <v>5833333</v>
      </c>
      <c r="W651" s="93">
        <f t="shared" si="142"/>
        <v>31666667</v>
      </c>
      <c r="X651" s="309" t="s">
        <v>1095</v>
      </c>
      <c r="Y651" s="878">
        <f t="shared" si="143"/>
        <v>0.15555554666666666</v>
      </c>
      <c r="Z651" s="42">
        <f t="shared" ca="1" si="144"/>
        <v>0.37569060773480661</v>
      </c>
      <c r="AA651" s="43">
        <f t="shared" ca="1" si="145"/>
        <v>0.22013506106813996</v>
      </c>
      <c r="AB651" s="202">
        <f t="shared" ca="1" si="146"/>
        <v>113</v>
      </c>
      <c r="AC651" s="44" t="str">
        <f t="shared" si="147"/>
        <v>NO</v>
      </c>
      <c r="AD651" s="762" t="s">
        <v>1714</v>
      </c>
      <c r="AE651" s="173" t="s">
        <v>1257</v>
      </c>
      <c r="AF651" s="173" t="s">
        <v>2174</v>
      </c>
      <c r="AG651" s="173"/>
      <c r="AH651" s="281" t="s">
        <v>560</v>
      </c>
      <c r="AI651" s="894"/>
      <c r="AJ651" s="305" t="s">
        <v>3901</v>
      </c>
      <c r="AK651" s="181" t="str">
        <f t="shared" ca="1" si="148"/>
        <v>EN EJECUCIÓN</v>
      </c>
      <c r="AL651" s="310" t="s">
        <v>582</v>
      </c>
      <c r="AM651" s="176" t="s">
        <v>391</v>
      </c>
      <c r="AN651" s="872" t="str">
        <f>IFERROR(VLOOKUP(E651,'liquidaciones '!$B$2:$C$1048576,2,0),"NO")</f>
        <v>NO</v>
      </c>
      <c r="AO651" s="972" t="str">
        <f>IFERROR(VLOOKUP(E651,'liquidaciones '!$B$2:$I$1048576,8,0),"")</f>
        <v/>
      </c>
      <c r="AP651" s="435"/>
      <c r="AQ651" s="177" t="s">
        <v>390</v>
      </c>
      <c r="AR651" s="435" t="s">
        <v>3069</v>
      </c>
      <c r="AS651" s="435"/>
      <c r="AT651" s="995" t="s">
        <v>560</v>
      </c>
    </row>
    <row r="652" spans="3:46" ht="45" x14ac:dyDescent="0.25">
      <c r="C652" s="893"/>
      <c r="D652" s="893"/>
      <c r="E652" s="894" t="s">
        <v>4193</v>
      </c>
      <c r="F652" s="443" t="s">
        <v>2960</v>
      </c>
      <c r="G652" s="919">
        <v>79436393</v>
      </c>
      <c r="H652" s="1035" t="s">
        <v>2842</v>
      </c>
      <c r="I652" s="93">
        <v>23819958</v>
      </c>
      <c r="J652" s="899" t="s">
        <v>4203</v>
      </c>
      <c r="K652" s="295">
        <v>2018</v>
      </c>
      <c r="L652" s="548">
        <v>43312</v>
      </c>
      <c r="M652" s="548">
        <v>43315</v>
      </c>
      <c r="N652" s="548">
        <v>43496</v>
      </c>
      <c r="O652" s="127">
        <f>COUNTA(Modificaciones!I638,Modificaciones!K638,Modificaciones!M638,Modificaciones!O638)</f>
        <v>0</v>
      </c>
      <c r="P652" s="128">
        <f>VLOOKUP(E652,Modificaciones!$B$7:$Q$900,16,0)</f>
        <v>0</v>
      </c>
      <c r="Q652" s="129">
        <f>COUNTA(Modificaciones!S652,Modificaciones!U652,Modificaciones!W652,Modificaciones!Y652)</f>
        <v>0</v>
      </c>
      <c r="R652" s="130" t="str">
        <f>IF(Modificaciones!Z652=0,"",VLOOKUP(E652,Modificaciones!$B$7:$AA$500,25,0))</f>
        <v/>
      </c>
      <c r="S652" s="131" t="str">
        <f>IF(Modificaciones!AA652=0,"",VLOOKUP(E652,Modificaciones!$B$7:$AA$500,26,0))</f>
        <v/>
      </c>
      <c r="T652" s="881">
        <f t="shared" si="140"/>
        <v>43496</v>
      </c>
      <c r="U652" s="62">
        <f t="shared" si="141"/>
        <v>23819958</v>
      </c>
      <c r="V652" s="172">
        <f>VLOOKUP(E652,Modificaciones!$B$7:$AU$900,46,0)</f>
        <v>3705327</v>
      </c>
      <c r="W652" s="93">
        <f t="shared" si="142"/>
        <v>20114631</v>
      </c>
      <c r="X652" s="309" t="s">
        <v>1095</v>
      </c>
      <c r="Y652" s="878">
        <f t="shared" si="143"/>
        <v>0.15555556395187597</v>
      </c>
      <c r="Z652" s="42">
        <f t="shared" ca="1" si="144"/>
        <v>0.37569060773480661</v>
      </c>
      <c r="AA652" s="43">
        <f t="shared" ca="1" si="145"/>
        <v>0.22013504378293064</v>
      </c>
      <c r="AB652" s="202">
        <f t="shared" ca="1" si="146"/>
        <v>113</v>
      </c>
      <c r="AC652" s="44" t="str">
        <f t="shared" si="147"/>
        <v>NO</v>
      </c>
      <c r="AD652" s="762" t="s">
        <v>1714</v>
      </c>
      <c r="AE652" s="173" t="s">
        <v>1257</v>
      </c>
      <c r="AF652" s="281" t="s">
        <v>2063</v>
      </c>
      <c r="AG652" s="173" t="s">
        <v>1438</v>
      </c>
      <c r="AH652" s="281" t="s">
        <v>561</v>
      </c>
      <c r="AI652" s="305"/>
      <c r="AJ652" s="305" t="s">
        <v>3883</v>
      </c>
      <c r="AK652" s="181" t="str">
        <f t="shared" ca="1" si="148"/>
        <v>EN EJECUCIÓN</v>
      </c>
      <c r="AL652" s="310" t="s">
        <v>582</v>
      </c>
      <c r="AM652" s="435" t="s">
        <v>391</v>
      </c>
      <c r="AN652" s="872" t="str">
        <f>IFERROR(VLOOKUP(E652,'liquidaciones '!$B$2:$C$1048576,2,0),"NO")</f>
        <v>NO</v>
      </c>
      <c r="AO652" s="972" t="str">
        <f>IFERROR(VLOOKUP(E652,'liquidaciones '!$B$2:$I$1048576,8,0),"")</f>
        <v/>
      </c>
      <c r="AP652" s="435"/>
      <c r="AQ652" s="177" t="s">
        <v>390</v>
      </c>
      <c r="AR652" s="435" t="s">
        <v>1511</v>
      </c>
      <c r="AS652" s="435"/>
      <c r="AT652" s="995" t="s">
        <v>561</v>
      </c>
    </row>
    <row r="653" spans="3:46" ht="45" customHeight="1" x14ac:dyDescent="0.25">
      <c r="C653" s="893"/>
      <c r="D653" s="893"/>
      <c r="E653" s="894" t="s">
        <v>4194</v>
      </c>
      <c r="F653" s="443" t="s">
        <v>4195</v>
      </c>
      <c r="G653" s="933">
        <v>1013625644</v>
      </c>
      <c r="H653" s="1033" t="s">
        <v>2488</v>
      </c>
      <c r="I653" s="93">
        <v>15613500</v>
      </c>
      <c r="J653" s="889" t="s">
        <v>4206</v>
      </c>
      <c r="K653" s="295">
        <v>2018</v>
      </c>
      <c r="L653" s="548">
        <v>43313</v>
      </c>
      <c r="M653" s="548">
        <v>43315</v>
      </c>
      <c r="N653" s="548">
        <v>43496</v>
      </c>
      <c r="O653" s="127">
        <f>COUNTA(Modificaciones!I639,Modificaciones!K639,Modificaciones!M639,Modificaciones!O639)</f>
        <v>0</v>
      </c>
      <c r="P653" s="128">
        <f>VLOOKUP(E653,Modificaciones!$B$7:$Q$900,16,0)</f>
        <v>0</v>
      </c>
      <c r="Q653" s="129">
        <f>COUNTA(Modificaciones!S653,Modificaciones!U653,Modificaciones!W653,Modificaciones!Y653)</f>
        <v>0</v>
      </c>
      <c r="R653" s="130" t="str">
        <f>IF(Modificaciones!Z653=0,"",VLOOKUP(E653,Modificaciones!$B$7:$AA$500,25,0))</f>
        <v/>
      </c>
      <c r="S653" s="131" t="str">
        <f>IF(Modificaciones!AA653=0,"",VLOOKUP(E653,Modificaciones!$B$7:$AA$500,26,0))</f>
        <v/>
      </c>
      <c r="T653" s="881">
        <f t="shared" si="140"/>
        <v>43496</v>
      </c>
      <c r="U653" s="62">
        <f t="shared" si="141"/>
        <v>15613500</v>
      </c>
      <c r="V653" s="172">
        <f>VLOOKUP(E653,Modificaciones!$B$7:$AU$900,46,0)</f>
        <v>2428767</v>
      </c>
      <c r="W653" s="93">
        <f t="shared" si="142"/>
        <v>13184733</v>
      </c>
      <c r="X653" s="309" t="s">
        <v>1095</v>
      </c>
      <c r="Y653" s="878">
        <f t="shared" si="143"/>
        <v>0.15555557690460178</v>
      </c>
      <c r="Z653" s="42">
        <f t="shared" ca="1" si="144"/>
        <v>0.37569060773480661</v>
      </c>
      <c r="AA653" s="43">
        <f t="shared" ca="1" si="145"/>
        <v>0.22013503083020483</v>
      </c>
      <c r="AB653" s="202">
        <f t="shared" ca="1" si="146"/>
        <v>113</v>
      </c>
      <c r="AC653" s="44" t="str">
        <f t="shared" si="147"/>
        <v>NO</v>
      </c>
      <c r="AD653" s="762" t="s">
        <v>1714</v>
      </c>
      <c r="AE653" s="173" t="s">
        <v>1257</v>
      </c>
      <c r="AF653" s="173" t="s">
        <v>2183</v>
      </c>
      <c r="AG653" s="173" t="s">
        <v>1178</v>
      </c>
      <c r="AH653" s="281" t="s">
        <v>559</v>
      </c>
      <c r="AI653" s="894"/>
      <c r="AJ653" s="305" t="s">
        <v>4055</v>
      </c>
      <c r="AK653" s="181" t="str">
        <f t="shared" ca="1" si="148"/>
        <v>EN EJECUCIÓN</v>
      </c>
      <c r="AL653" s="310" t="s">
        <v>582</v>
      </c>
      <c r="AM653" s="176" t="s">
        <v>391</v>
      </c>
      <c r="AN653" s="872" t="str">
        <f>IFERROR(VLOOKUP(E653,'liquidaciones '!$B$2:$C$1048576,2,0),"NO")</f>
        <v>NO</v>
      </c>
      <c r="AO653" s="972" t="str">
        <f>IFERROR(VLOOKUP(E653,'liquidaciones '!$B$2:$I$1048576,8,0),"")</f>
        <v/>
      </c>
      <c r="AP653" s="435"/>
      <c r="AQ653" s="177" t="s">
        <v>390</v>
      </c>
      <c r="AR653" s="435" t="s">
        <v>3069</v>
      </c>
      <c r="AS653" s="435"/>
      <c r="AT653" s="995" t="s">
        <v>3968</v>
      </c>
    </row>
    <row r="654" spans="3:46" ht="78.75" x14ac:dyDescent="0.25">
      <c r="C654" s="893"/>
      <c r="D654" s="893"/>
      <c r="E654" s="894" t="s">
        <v>4196</v>
      </c>
      <c r="F654" s="443" t="s">
        <v>4197</v>
      </c>
      <c r="G654" s="919">
        <v>52314220</v>
      </c>
      <c r="H654" s="1037" t="s">
        <v>4198</v>
      </c>
      <c r="I654" s="93">
        <v>28122000</v>
      </c>
      <c r="J654" s="899" t="s">
        <v>4202</v>
      </c>
      <c r="K654" s="295">
        <v>2018</v>
      </c>
      <c r="L654" s="548">
        <v>43312</v>
      </c>
      <c r="M654" s="548">
        <v>43315</v>
      </c>
      <c r="N654" s="548">
        <v>43496</v>
      </c>
      <c r="O654" s="127">
        <f>COUNTA(Modificaciones!I640,Modificaciones!K640,Modificaciones!M640,Modificaciones!O640)</f>
        <v>0</v>
      </c>
      <c r="P654" s="128">
        <f>VLOOKUP(E654,Modificaciones!$B$7:$Q$900,16,0)</f>
        <v>0</v>
      </c>
      <c r="Q654" s="129">
        <f>COUNTA(Modificaciones!S654,Modificaciones!U654,Modificaciones!W654,Modificaciones!Y654)</f>
        <v>0</v>
      </c>
      <c r="R654" s="130" t="str">
        <f>IF(Modificaciones!Z654=0,"",VLOOKUP(E654,Modificaciones!$B$7:$AA$500,25,0))</f>
        <v/>
      </c>
      <c r="S654" s="131" t="str">
        <f>IF(Modificaciones!AA654=0,"",VLOOKUP(E654,Modificaciones!$B$7:$AA$500,26,0))</f>
        <v/>
      </c>
      <c r="T654" s="881">
        <f t="shared" si="140"/>
        <v>43496</v>
      </c>
      <c r="U654" s="62">
        <f t="shared" si="141"/>
        <v>28122000</v>
      </c>
      <c r="V654" s="172">
        <f>VLOOKUP(E654,Modificaciones!$B$7:$AU$900,46,0)</f>
        <v>4374533</v>
      </c>
      <c r="W654" s="93">
        <f t="shared" si="142"/>
        <v>23747467</v>
      </c>
      <c r="X654" s="309"/>
      <c r="Y654" s="878">
        <f t="shared" si="143"/>
        <v>0.15555554370243938</v>
      </c>
      <c r="Z654" s="42">
        <f t="shared" ca="1" si="144"/>
        <v>0.37569060773480661</v>
      </c>
      <c r="AA654" s="43">
        <f t="shared" ca="1" si="145"/>
        <v>0.22013506403236724</v>
      </c>
      <c r="AB654" s="202">
        <f t="shared" ca="1" si="146"/>
        <v>113</v>
      </c>
      <c r="AC654" s="44" t="str">
        <f t="shared" si="147"/>
        <v>NO</v>
      </c>
      <c r="AD654" s="762" t="s">
        <v>1714</v>
      </c>
      <c r="AE654" s="173" t="s">
        <v>1257</v>
      </c>
      <c r="AF654" s="173" t="s">
        <v>2596</v>
      </c>
      <c r="AG654" s="173" t="s">
        <v>1178</v>
      </c>
      <c r="AH654" s="281" t="s">
        <v>559</v>
      </c>
      <c r="AI654" s="305"/>
      <c r="AJ654" s="305" t="s">
        <v>4055</v>
      </c>
      <c r="AK654" s="181" t="str">
        <f t="shared" ca="1" si="148"/>
        <v>EN EJECUCIÓN</v>
      </c>
      <c r="AL654" s="181" t="s">
        <v>582</v>
      </c>
      <c r="AM654" s="435" t="s">
        <v>391</v>
      </c>
      <c r="AN654" s="872" t="str">
        <f>IFERROR(VLOOKUP(E654,'liquidaciones '!$B$2:$C$1048576,2,0),"NO")</f>
        <v>NO</v>
      </c>
      <c r="AO654" s="972" t="str">
        <f>IFERROR(VLOOKUP(E654,'liquidaciones '!$B$2:$I$1048576,8,0),"")</f>
        <v/>
      </c>
      <c r="AP654" s="435"/>
      <c r="AQ654" s="177" t="s">
        <v>390</v>
      </c>
      <c r="AR654" s="435" t="s">
        <v>3069</v>
      </c>
      <c r="AS654" s="435"/>
      <c r="AT654" s="995" t="s">
        <v>559</v>
      </c>
    </row>
    <row r="655" spans="3:46" ht="56.25" x14ac:dyDescent="0.25">
      <c r="C655" s="893"/>
      <c r="D655" s="893"/>
      <c r="E655" s="894" t="s">
        <v>4212</v>
      </c>
      <c r="F655" s="443" t="s">
        <v>4213</v>
      </c>
      <c r="G655" s="919">
        <v>1030532647</v>
      </c>
      <c r="H655" s="1037" t="s">
        <v>3619</v>
      </c>
      <c r="I655" s="93">
        <v>9765000</v>
      </c>
      <c r="J655" s="889" t="s">
        <v>4217</v>
      </c>
      <c r="K655" s="295">
        <v>2018</v>
      </c>
      <c r="L655" s="548">
        <v>43314</v>
      </c>
      <c r="M655" s="548">
        <v>43320</v>
      </c>
      <c r="N655" s="548">
        <v>43472</v>
      </c>
      <c r="O655" s="127">
        <f>COUNTA(Modificaciones!I641,Modificaciones!K641,Modificaciones!M641,Modificaciones!O641)</f>
        <v>0</v>
      </c>
      <c r="P655" s="128">
        <f>VLOOKUP(E655,Modificaciones!$B$7:$Q$900,16,0)</f>
        <v>0</v>
      </c>
      <c r="Q655" s="129">
        <f>COUNTA(Modificaciones!S655,Modificaciones!U655,Modificaciones!W655,Modificaciones!Y655)</f>
        <v>0</v>
      </c>
      <c r="R655" s="130" t="str">
        <f>IF(Modificaciones!Z655=0,"",VLOOKUP(E655,Modificaciones!$B$7:$AA$500,25,0))</f>
        <v/>
      </c>
      <c r="S655" s="131" t="str">
        <f>IF(Modificaciones!AA655=0,"",VLOOKUP(E655,Modificaciones!$B$7:$AA$500,26,0))</f>
        <v/>
      </c>
      <c r="T655" s="881">
        <f t="shared" si="140"/>
        <v>43472</v>
      </c>
      <c r="U655" s="62">
        <f t="shared" si="141"/>
        <v>9765000</v>
      </c>
      <c r="V655" s="172">
        <f>VLOOKUP(E655,Modificaciones!$B$7:$AU$900,46,0)</f>
        <v>1497300</v>
      </c>
      <c r="W655" s="93">
        <f t="shared" si="142"/>
        <v>8267700</v>
      </c>
      <c r="X655" s="309" t="s">
        <v>1095</v>
      </c>
      <c r="Y655" s="878">
        <f t="shared" si="143"/>
        <v>0.15333333333333332</v>
      </c>
      <c r="Z655" s="42">
        <f t="shared" ca="1" si="144"/>
        <v>0.41447368421052633</v>
      </c>
      <c r="AA655" s="43">
        <f t="shared" ca="1" si="145"/>
        <v>0.26114035087719301</v>
      </c>
      <c r="AB655" s="202">
        <f t="shared" ca="1" si="146"/>
        <v>89</v>
      </c>
      <c r="AC655" s="44" t="str">
        <f t="shared" si="147"/>
        <v>NO</v>
      </c>
      <c r="AD655" s="762" t="s">
        <v>1714</v>
      </c>
      <c r="AE655" s="173" t="s">
        <v>1257</v>
      </c>
      <c r="AF655" s="281" t="s">
        <v>3620</v>
      </c>
      <c r="AG655" s="894" t="s">
        <v>3621</v>
      </c>
      <c r="AH655" s="281" t="s">
        <v>560</v>
      </c>
      <c r="AI655" s="894" t="s">
        <v>3622</v>
      </c>
      <c r="AJ655" s="305" t="s">
        <v>3901</v>
      </c>
      <c r="AK655" s="181" t="str">
        <f t="shared" ca="1" si="148"/>
        <v>EN EJECUCIÓN</v>
      </c>
      <c r="AL655" s="310" t="s">
        <v>582</v>
      </c>
      <c r="AM655" s="435" t="s">
        <v>391</v>
      </c>
      <c r="AN655" s="872" t="str">
        <f>IFERROR(VLOOKUP(E655,'liquidaciones '!$B$2:$C$1048576,2,0),"NO")</f>
        <v>NO</v>
      </c>
      <c r="AO655" s="972" t="str">
        <f>IFERROR(VLOOKUP(E655,'liquidaciones '!$B$2:$I$1048576,8,0),"")</f>
        <v/>
      </c>
      <c r="AP655" s="435"/>
      <c r="AQ655" s="435" t="s">
        <v>390</v>
      </c>
      <c r="AR655" s="177" t="s">
        <v>4302</v>
      </c>
      <c r="AS655" s="435" t="s">
        <v>3800</v>
      </c>
      <c r="AT655" s="995" t="s">
        <v>560</v>
      </c>
    </row>
    <row r="656" spans="3:46" ht="33.75" x14ac:dyDescent="0.25">
      <c r="C656" s="893"/>
      <c r="D656" s="893"/>
      <c r="E656" s="894" t="s">
        <v>4214</v>
      </c>
      <c r="F656" s="443" t="s">
        <v>4215</v>
      </c>
      <c r="G656" s="919">
        <v>1016064307</v>
      </c>
      <c r="H656" s="1037" t="s">
        <v>3527</v>
      </c>
      <c r="I656" s="93">
        <v>11718000</v>
      </c>
      <c r="J656" s="889" t="s">
        <v>4218</v>
      </c>
      <c r="K656" s="295">
        <v>2018</v>
      </c>
      <c r="L656" s="548">
        <v>43314</v>
      </c>
      <c r="M656" s="548">
        <v>43320</v>
      </c>
      <c r="N656" s="548">
        <v>43496</v>
      </c>
      <c r="O656" s="127">
        <f>COUNTA(Modificaciones!I642,Modificaciones!K642,Modificaciones!M642,Modificaciones!O642)</f>
        <v>0</v>
      </c>
      <c r="P656" s="128">
        <f>VLOOKUP(E656,Modificaciones!$B$7:$Q$900,16,0)</f>
        <v>0</v>
      </c>
      <c r="Q656" s="129">
        <f>COUNTA(Modificaciones!S656,Modificaciones!U656,Modificaciones!W656,Modificaciones!Y656)</f>
        <v>0</v>
      </c>
      <c r="R656" s="130" t="str">
        <f>IF(Modificaciones!Z656=0,"",VLOOKUP(E656,Modificaciones!$B$7:$AA$500,25,0))</f>
        <v/>
      </c>
      <c r="S656" s="131" t="str">
        <f>IF(Modificaciones!AA656=0,"",VLOOKUP(E656,Modificaciones!$B$7:$AA$500,26,0))</f>
        <v/>
      </c>
      <c r="T656" s="881">
        <f t="shared" si="140"/>
        <v>43496</v>
      </c>
      <c r="U656" s="62">
        <f t="shared" si="141"/>
        <v>11718000</v>
      </c>
      <c r="V656" s="172">
        <f>VLOOKUP(E656,Modificaciones!$B$7:$AU$900,46,0)</f>
        <v>1497300</v>
      </c>
      <c r="W656" s="93">
        <f t="shared" si="142"/>
        <v>10220700</v>
      </c>
      <c r="X656" s="309" t="s">
        <v>1095</v>
      </c>
      <c r="Y656" s="878">
        <f t="shared" si="143"/>
        <v>0.12777777777777777</v>
      </c>
      <c r="Z656" s="42">
        <f t="shared" ca="1" si="144"/>
        <v>0.35795454545454547</v>
      </c>
      <c r="AA656" s="43">
        <f t="shared" ca="1" si="145"/>
        <v>0.2301767676767677</v>
      </c>
      <c r="AB656" s="202">
        <f t="shared" ca="1" si="146"/>
        <v>113</v>
      </c>
      <c r="AC656" s="44" t="str">
        <f t="shared" si="147"/>
        <v>NO</v>
      </c>
      <c r="AD656" s="762" t="s">
        <v>1714</v>
      </c>
      <c r="AE656" s="897" t="s">
        <v>1257</v>
      </c>
      <c r="AF656" s="281" t="s">
        <v>3084</v>
      </c>
      <c r="AG656" s="173" t="s">
        <v>1438</v>
      </c>
      <c r="AH656" s="281" t="s">
        <v>561</v>
      </c>
      <c r="AI656" s="894"/>
      <c r="AJ656" s="305" t="s">
        <v>2845</v>
      </c>
      <c r="AK656" s="181" t="str">
        <f t="shared" ca="1" si="148"/>
        <v>EN EJECUCIÓN</v>
      </c>
      <c r="AL656" s="310" t="s">
        <v>582</v>
      </c>
      <c r="AM656" s="435" t="s">
        <v>391</v>
      </c>
      <c r="AN656" s="872" t="str">
        <f>IFERROR(VLOOKUP(E656,'liquidaciones '!$B$2:$C$1048576,2,0),"NO")</f>
        <v>NO</v>
      </c>
      <c r="AO656" s="972" t="str">
        <f>IFERROR(VLOOKUP(E656,'liquidaciones '!$B$2:$I$1048576,8,0),"")</f>
        <v/>
      </c>
      <c r="AP656" s="435"/>
      <c r="AQ656" s="435" t="s">
        <v>390</v>
      </c>
      <c r="AR656" s="177" t="s">
        <v>4279</v>
      </c>
      <c r="AS656" s="435"/>
      <c r="AT656" s="995" t="s">
        <v>4216</v>
      </c>
    </row>
    <row r="657" spans="3:46" ht="33.75" x14ac:dyDescent="0.25">
      <c r="C657" s="893"/>
      <c r="D657" s="893"/>
      <c r="E657" s="894" t="s">
        <v>4219</v>
      </c>
      <c r="F657" s="443" t="s">
        <v>4220</v>
      </c>
      <c r="G657" s="919">
        <v>1032397721</v>
      </c>
      <c r="H657" s="1037" t="s">
        <v>4221</v>
      </c>
      <c r="I657" s="93">
        <v>11718000</v>
      </c>
      <c r="J657" s="899" t="s">
        <v>4231</v>
      </c>
      <c r="K657" s="295">
        <v>2018</v>
      </c>
      <c r="L657" s="548">
        <v>43315</v>
      </c>
      <c r="M657" s="548">
        <v>43326</v>
      </c>
      <c r="N657" s="548">
        <v>43496</v>
      </c>
      <c r="O657" s="127">
        <f>COUNTA(Modificaciones!I643,Modificaciones!K643,Modificaciones!M643,Modificaciones!O643)</f>
        <v>0</v>
      </c>
      <c r="P657" s="128">
        <f>VLOOKUP(E657,Modificaciones!$B$7:$Q$900,16,0)</f>
        <v>0</v>
      </c>
      <c r="Q657" s="129">
        <f>COUNTA(Modificaciones!S657,Modificaciones!U657,Modificaciones!W657,Modificaciones!Y657)</f>
        <v>0</v>
      </c>
      <c r="R657" s="130" t="str">
        <f>IF(Modificaciones!Z657=0,"",VLOOKUP(E657,Modificaciones!$B$7:$AA$500,25,0))</f>
        <v/>
      </c>
      <c r="S657" s="131" t="str">
        <f>IF(Modificaciones!AA657=0,"",VLOOKUP(E657,Modificaciones!$B$7:$AA$500,26,0))</f>
        <v/>
      </c>
      <c r="T657" s="881">
        <f t="shared" si="140"/>
        <v>43496</v>
      </c>
      <c r="U657" s="62">
        <f t="shared" si="141"/>
        <v>11718000</v>
      </c>
      <c r="V657" s="172">
        <f>VLOOKUP(E657,Modificaciones!$B$7:$AU$900,46,0)</f>
        <v>1106700</v>
      </c>
      <c r="W657" s="93">
        <f t="shared" si="142"/>
        <v>10611300</v>
      </c>
      <c r="X657" s="309" t="s">
        <v>1095</v>
      </c>
      <c r="Y657" s="878">
        <f t="shared" si="143"/>
        <v>9.4444444444444442E-2</v>
      </c>
      <c r="Z657" s="42">
        <f t="shared" ca="1" si="144"/>
        <v>0.3352941176470588</v>
      </c>
      <c r="AA657" s="43">
        <f t="shared" ca="1" si="145"/>
        <v>0.24084967320261436</v>
      </c>
      <c r="AB657" s="202">
        <f t="shared" ca="1" si="146"/>
        <v>113</v>
      </c>
      <c r="AC657" s="44" t="str">
        <f t="shared" si="147"/>
        <v>NO</v>
      </c>
      <c r="AD657" s="762" t="s">
        <v>1714</v>
      </c>
      <c r="AE657" s="897" t="s">
        <v>1257</v>
      </c>
      <c r="AF657" s="281" t="s">
        <v>4222</v>
      </c>
      <c r="AG657" s="894"/>
      <c r="AH657" s="894" t="s">
        <v>562</v>
      </c>
      <c r="AI657" s="894"/>
      <c r="AJ657" s="305" t="s">
        <v>4014</v>
      </c>
      <c r="AK657" s="181" t="str">
        <f t="shared" ca="1" si="148"/>
        <v>EN EJECUCIÓN</v>
      </c>
      <c r="AL657" s="310" t="s">
        <v>582</v>
      </c>
      <c r="AM657" s="435" t="s">
        <v>391</v>
      </c>
      <c r="AN657" s="872" t="str">
        <f>IFERROR(VLOOKUP(E657,'liquidaciones '!$B$2:$C$1048576,2,0),"NO")</f>
        <v>NO</v>
      </c>
      <c r="AO657" s="972" t="str">
        <f>IFERROR(VLOOKUP(E657,'liquidaciones '!$B$2:$I$1048576,8,0),"")</f>
        <v/>
      </c>
      <c r="AP657" s="435"/>
      <c r="AQ657" s="435" t="s">
        <v>390</v>
      </c>
      <c r="AR657" s="1018" t="s">
        <v>4279</v>
      </c>
      <c r="AS657" s="435"/>
      <c r="AT657" s="995" t="s">
        <v>4167</v>
      </c>
    </row>
    <row r="658" spans="3:46" ht="45" x14ac:dyDescent="0.25">
      <c r="C658" s="893">
        <v>4</v>
      </c>
      <c r="D658" s="893"/>
      <c r="E658" s="894" t="s">
        <v>4223</v>
      </c>
      <c r="F658" s="443" t="s">
        <v>2527</v>
      </c>
      <c r="G658" s="919">
        <v>4831</v>
      </c>
      <c r="H658" s="1033" t="s">
        <v>4224</v>
      </c>
      <c r="I658" s="93">
        <v>8400000</v>
      </c>
      <c r="J658" s="899" t="s">
        <v>4230</v>
      </c>
      <c r="K658" s="295">
        <v>2018</v>
      </c>
      <c r="L658" s="548">
        <v>43300</v>
      </c>
      <c r="M658" s="548">
        <v>43327</v>
      </c>
      <c r="N658" s="548">
        <v>43569</v>
      </c>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IF(Modificaciones!Z658=0,"",VLOOKUP(E658,Modificaciones!$B$7:$AA$500,25,0))</f>
        <v/>
      </c>
      <c r="S658" s="131" t="str">
        <f>IF(Modificaciones!AA658=0,"",VLOOKUP(E658,Modificaciones!$B$7:$AA$500,26,0))</f>
        <v/>
      </c>
      <c r="T658" s="881">
        <f t="shared" si="140"/>
        <v>43569</v>
      </c>
      <c r="U658" s="62">
        <f t="shared" si="141"/>
        <v>8400000</v>
      </c>
      <c r="V658" s="172">
        <f>VLOOKUP(E658,Modificaciones!$B$7:$AU$900,46,0)</f>
        <v>0</v>
      </c>
      <c r="W658" s="93">
        <f t="shared" si="142"/>
        <v>8400000</v>
      </c>
      <c r="X658" s="309" t="s">
        <v>1644</v>
      </c>
      <c r="Y658" s="878">
        <f t="shared" si="143"/>
        <v>0</v>
      </c>
      <c r="Z658" s="42">
        <f t="shared" ca="1" si="144"/>
        <v>0.23140495867768596</v>
      </c>
      <c r="AA658" s="43">
        <f t="shared" ca="1" si="145"/>
        <v>0.23140495867768596</v>
      </c>
      <c r="AB658" s="202">
        <f t="shared" ca="1" si="146"/>
        <v>186</v>
      </c>
      <c r="AC658" s="44" t="str">
        <f t="shared" si="147"/>
        <v>NO</v>
      </c>
      <c r="AD658" s="762" t="s">
        <v>1713</v>
      </c>
      <c r="AE658" s="173" t="s">
        <v>1257</v>
      </c>
      <c r="AF658" s="173" t="s">
        <v>1127</v>
      </c>
      <c r="AG658" s="173" t="s">
        <v>1443</v>
      </c>
      <c r="AH658" s="281" t="s">
        <v>560</v>
      </c>
      <c r="AI658" s="174" t="s">
        <v>4225</v>
      </c>
      <c r="AJ658" s="305" t="s">
        <v>2845</v>
      </c>
      <c r="AK658" s="181" t="str">
        <f t="shared" ca="1" si="148"/>
        <v>EN EJECUCIÓN</v>
      </c>
      <c r="AL658" s="181" t="s">
        <v>576</v>
      </c>
      <c r="AM658" s="176" t="s">
        <v>390</v>
      </c>
      <c r="AN658" s="872" t="str">
        <f>IFERROR(VLOOKUP(E658,'liquidaciones '!$B$2:$C$1048576,2,0),"NO")</f>
        <v>NO</v>
      </c>
      <c r="AO658" s="972" t="str">
        <f>IFERROR(VLOOKUP(E658,'liquidaciones '!$B$2:$I$1048576,8,0),"")</f>
        <v/>
      </c>
      <c r="AP658" s="435"/>
      <c r="AQ658" s="177" t="s">
        <v>390</v>
      </c>
      <c r="AR658" s="177" t="s">
        <v>2977</v>
      </c>
      <c r="AS658" s="435" t="s">
        <v>4226</v>
      </c>
      <c r="AT658" s="995" t="s">
        <v>560</v>
      </c>
    </row>
    <row r="659" spans="3:46" ht="33.75" x14ac:dyDescent="0.25">
      <c r="C659" s="893">
        <v>140</v>
      </c>
      <c r="D659" s="893"/>
      <c r="E659" s="894" t="s">
        <v>4227</v>
      </c>
      <c r="F659" s="443" t="s">
        <v>73</v>
      </c>
      <c r="G659" s="919" t="s">
        <v>4228</v>
      </c>
      <c r="H659" s="1037" t="s">
        <v>3076</v>
      </c>
      <c r="I659" s="93">
        <v>969949607</v>
      </c>
      <c r="J659" s="1055" t="s">
        <v>4229</v>
      </c>
      <c r="K659" s="295">
        <v>2018</v>
      </c>
      <c r="L659" s="548">
        <v>43308</v>
      </c>
      <c r="M659" s="548">
        <v>43327</v>
      </c>
      <c r="N659" s="548">
        <v>43538</v>
      </c>
      <c r="O659" s="127">
        <f>COUNTA(Modificaciones!I645,Modificaciones!K645,Modificaciones!M645,Modificaciones!O645)</f>
        <v>0</v>
      </c>
      <c r="P659" s="128">
        <f>VLOOKUP(E659,Modificaciones!$B$7:$Q$900,16,0)</f>
        <v>0</v>
      </c>
      <c r="Q659" s="129">
        <f>COUNTA(Modificaciones!S659,Modificaciones!U659,Modificaciones!W659,Modificaciones!Y659)</f>
        <v>0</v>
      </c>
      <c r="R659" s="130" t="str">
        <f>IF(Modificaciones!Z659=0,"",VLOOKUP(E659,Modificaciones!$B$7:$AA$500,25,0))</f>
        <v/>
      </c>
      <c r="S659" s="131" t="str">
        <f>IF(Modificaciones!AA659=0,"",VLOOKUP(E659,Modificaciones!$B$7:$AA$500,26,0))</f>
        <v/>
      </c>
      <c r="T659" s="881">
        <f t="shared" si="140"/>
        <v>43538</v>
      </c>
      <c r="U659" s="62">
        <f t="shared" si="141"/>
        <v>969949607</v>
      </c>
      <c r="V659" s="172">
        <f>VLOOKUP(E659,Modificaciones!$B$7:$AU$900,46,0)</f>
        <v>0</v>
      </c>
      <c r="W659" s="93">
        <f t="shared" si="142"/>
        <v>969949607</v>
      </c>
      <c r="X659" s="309" t="s">
        <v>1893</v>
      </c>
      <c r="Y659" s="878">
        <f t="shared" si="143"/>
        <v>0</v>
      </c>
      <c r="Z659" s="42">
        <f t="shared" ca="1" si="144"/>
        <v>0.26540284360189575</v>
      </c>
      <c r="AA659" s="43">
        <f t="shared" ca="1" si="145"/>
        <v>0.26540284360189575</v>
      </c>
      <c r="AB659" s="202">
        <f t="shared" ca="1" si="146"/>
        <v>155</v>
      </c>
      <c r="AC659" s="44" t="str">
        <f t="shared" si="147"/>
        <v>NO</v>
      </c>
      <c r="AD659" s="762" t="s">
        <v>1722</v>
      </c>
      <c r="AE659" s="173" t="s">
        <v>1257</v>
      </c>
      <c r="AF659" s="173" t="s">
        <v>1293</v>
      </c>
      <c r="AG659" s="173" t="s">
        <v>1431</v>
      </c>
      <c r="AH659" s="281" t="s">
        <v>564</v>
      </c>
      <c r="AI659" s="305"/>
      <c r="AJ659" s="305"/>
      <c r="AK659" s="181" t="str">
        <f t="shared" ca="1" si="148"/>
        <v>EN EJECUCIÓN</v>
      </c>
      <c r="AL659" s="310" t="s">
        <v>582</v>
      </c>
      <c r="AM659" s="435" t="s">
        <v>390</v>
      </c>
      <c r="AN659" s="872" t="str">
        <f>IFERROR(VLOOKUP(E659,'liquidaciones '!$B$2:$C$1048576,2,0),"NO")</f>
        <v>NO</v>
      </c>
      <c r="AO659" s="972" t="str">
        <f>IFERROR(VLOOKUP(E659,'liquidaciones '!$B$2:$I$1048576,8,0),"")</f>
        <v/>
      </c>
      <c r="AP659" s="435"/>
      <c r="AQ659" s="435" t="s">
        <v>390</v>
      </c>
      <c r="AR659" s="435" t="s">
        <v>4278</v>
      </c>
      <c r="AS659" s="435"/>
      <c r="AT659" s="995" t="s">
        <v>3949</v>
      </c>
    </row>
    <row r="660" spans="3:46" ht="78.75" x14ac:dyDescent="0.25">
      <c r="C660" s="893">
        <v>132</v>
      </c>
      <c r="D660" s="893"/>
      <c r="E660" s="894" t="s">
        <v>4235</v>
      </c>
      <c r="F660" s="443" t="s">
        <v>3973</v>
      </c>
      <c r="G660" s="919">
        <v>900424713</v>
      </c>
      <c r="H660" s="1037" t="s">
        <v>4236</v>
      </c>
      <c r="I660" s="93">
        <v>91200000</v>
      </c>
      <c r="J660" s="889" t="s">
        <v>4238</v>
      </c>
      <c r="K660" s="295">
        <v>2018</v>
      </c>
      <c r="L660" s="548">
        <v>43313</v>
      </c>
      <c r="M660" s="548">
        <v>43325</v>
      </c>
      <c r="N660" s="548">
        <v>43567</v>
      </c>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IF(Modificaciones!Z660=0,"",VLOOKUP(E660,Modificaciones!$B$7:$AA$500,25,0))</f>
        <v/>
      </c>
      <c r="S660" s="131" t="str">
        <f>IF(Modificaciones!AA660=0,"",VLOOKUP(E660,Modificaciones!$B$7:$AA$500,26,0))</f>
        <v/>
      </c>
      <c r="T660" s="881">
        <f t="shared" si="140"/>
        <v>43567</v>
      </c>
      <c r="U660" s="62">
        <f t="shared" si="141"/>
        <v>91200000</v>
      </c>
      <c r="V660" s="172">
        <f>VLOOKUP(E660,Modificaciones!$B$7:$AU$900,46,0)</f>
        <v>0</v>
      </c>
      <c r="W660" s="93">
        <f t="shared" si="142"/>
        <v>91200000</v>
      </c>
      <c r="X660" s="309" t="s">
        <v>1095</v>
      </c>
      <c r="Y660" s="878">
        <f t="shared" si="143"/>
        <v>0</v>
      </c>
      <c r="Z660" s="42">
        <f t="shared" ca="1" si="144"/>
        <v>0.23966942148760331</v>
      </c>
      <c r="AA660" s="43">
        <f t="shared" ca="1" si="145"/>
        <v>0.23966942148760331</v>
      </c>
      <c r="AB660" s="202">
        <f t="shared" ca="1" si="146"/>
        <v>184</v>
      </c>
      <c r="AC660" s="44" t="str">
        <f t="shared" si="147"/>
        <v>NO</v>
      </c>
      <c r="AD660" s="762" t="s">
        <v>1713</v>
      </c>
      <c r="AE660" s="173" t="s">
        <v>1257</v>
      </c>
      <c r="AF660" s="281" t="s">
        <v>1302</v>
      </c>
      <c r="AG660" s="173" t="s">
        <v>1436</v>
      </c>
      <c r="AH660" s="281" t="s">
        <v>560</v>
      </c>
      <c r="AI660" s="894" t="s">
        <v>4237</v>
      </c>
      <c r="AJ660" s="305" t="s">
        <v>3901</v>
      </c>
      <c r="AK660" s="181" t="str">
        <f t="shared" ca="1" si="148"/>
        <v>EN EJECUCIÓN</v>
      </c>
      <c r="AL660" s="310" t="s">
        <v>574</v>
      </c>
      <c r="AM660" s="176" t="s">
        <v>390</v>
      </c>
      <c r="AN660" s="872" t="str">
        <f>IFERROR(VLOOKUP(E660,'liquidaciones '!$B$2:$C$1048576,2,0),"NO")</f>
        <v>NO</v>
      </c>
      <c r="AO660" s="972" t="str">
        <f>IFERROR(VLOOKUP(E660,'liquidaciones '!$B$2:$I$1048576,8,0),"")</f>
        <v/>
      </c>
      <c r="AP660" s="435"/>
      <c r="AQ660" s="177" t="s">
        <v>390</v>
      </c>
      <c r="AR660" s="435" t="s">
        <v>4279</v>
      </c>
      <c r="AS660" s="435" t="s">
        <v>4237</v>
      </c>
      <c r="AT660" s="995" t="s">
        <v>3916</v>
      </c>
    </row>
    <row r="661" spans="3:46" ht="33.75" x14ac:dyDescent="0.25">
      <c r="C661" s="893"/>
      <c r="D661" s="893"/>
      <c r="E661" s="894" t="s">
        <v>4239</v>
      </c>
      <c r="F661" s="443" t="s">
        <v>4240</v>
      </c>
      <c r="G661" s="919">
        <v>1077970840</v>
      </c>
      <c r="H661" s="1035" t="s">
        <v>4242</v>
      </c>
      <c r="I661" s="93">
        <v>13200000</v>
      </c>
      <c r="J661" s="899" t="s">
        <v>4241</v>
      </c>
      <c r="K661" s="295">
        <v>2018</v>
      </c>
      <c r="L661" s="548">
        <v>43320</v>
      </c>
      <c r="M661" s="548">
        <v>43326</v>
      </c>
      <c r="N661" s="548">
        <v>43496</v>
      </c>
      <c r="O661" s="127">
        <f>COUNTA(Modificaciones!I647,Modificaciones!K647,Modificaciones!M647,Modificaciones!O647)</f>
        <v>0</v>
      </c>
      <c r="P661" s="128">
        <f>VLOOKUP(E661,Modificaciones!$B$7:$Q$900,16,0)</f>
        <v>0</v>
      </c>
      <c r="Q661" s="129">
        <f>COUNTA(Modificaciones!S661,Modificaciones!U661,Modificaciones!W661,Modificaciones!Y661)</f>
        <v>0</v>
      </c>
      <c r="R661" s="130" t="str">
        <f>IF(Modificaciones!Z661=0,"",VLOOKUP(E661,Modificaciones!$B$7:$AA$500,25,0))</f>
        <v/>
      </c>
      <c r="S661" s="131" t="str">
        <f>IF(Modificaciones!AA661=0,"",VLOOKUP(E661,Modificaciones!$B$7:$AA$500,26,0))</f>
        <v/>
      </c>
      <c r="T661" s="881">
        <f t="shared" si="140"/>
        <v>43496</v>
      </c>
      <c r="U661" s="62">
        <f t="shared" si="141"/>
        <v>13200000</v>
      </c>
      <c r="V661" s="172">
        <f>VLOOKUP(E661,Modificaciones!$B$7:$AU$900,46,0)</f>
        <v>1246667</v>
      </c>
      <c r="W661" s="93">
        <f t="shared" si="142"/>
        <v>11953333</v>
      </c>
      <c r="X661" s="309" t="s">
        <v>1095</v>
      </c>
      <c r="Y661" s="878">
        <f t="shared" si="143"/>
        <v>9.4444469696969693E-2</v>
      </c>
      <c r="Z661" s="42">
        <f t="shared" ca="1" si="144"/>
        <v>0.3352941176470588</v>
      </c>
      <c r="AA661" s="43">
        <f t="shared" ca="1" si="145"/>
        <v>0.24084964795008912</v>
      </c>
      <c r="AB661" s="202">
        <f t="shared" ca="1" si="146"/>
        <v>113</v>
      </c>
      <c r="AC661" s="44" t="str">
        <f t="shared" si="147"/>
        <v>NO</v>
      </c>
      <c r="AD661" s="762" t="s">
        <v>1714</v>
      </c>
      <c r="AE661" s="173" t="s">
        <v>1257</v>
      </c>
      <c r="AF661" s="926" t="s">
        <v>2953</v>
      </c>
      <c r="AG661" s="173" t="s">
        <v>1178</v>
      </c>
      <c r="AH661" s="281" t="s">
        <v>559</v>
      </c>
      <c r="AI661" s="894"/>
      <c r="AJ661" s="305" t="s">
        <v>4055</v>
      </c>
      <c r="AK661" s="181" t="str">
        <f t="shared" ca="1" si="148"/>
        <v>EN EJECUCIÓN</v>
      </c>
      <c r="AL661" s="181" t="s">
        <v>582</v>
      </c>
      <c r="AM661" s="435" t="s">
        <v>391</v>
      </c>
      <c r="AN661" s="872" t="str">
        <f>IFERROR(VLOOKUP(E661,'liquidaciones '!$B$2:$C$1048576,2,0),"NO")</f>
        <v>NO</v>
      </c>
      <c r="AO661" s="972" t="str">
        <f>IFERROR(VLOOKUP(E661,'liquidaciones '!$B$2:$I$1048576,8,0),"")</f>
        <v/>
      </c>
      <c r="AP661" s="435"/>
      <c r="AQ661" s="177" t="s">
        <v>390</v>
      </c>
      <c r="AR661" s="435" t="s">
        <v>4302</v>
      </c>
      <c r="AS661" s="435"/>
      <c r="AT661" s="995" t="s">
        <v>3968</v>
      </c>
    </row>
    <row r="662" spans="3:46" ht="45" x14ac:dyDescent="0.25">
      <c r="C662" s="893">
        <v>424</v>
      </c>
      <c r="D662" s="893"/>
      <c r="E662" s="894" t="s">
        <v>4243</v>
      </c>
      <c r="F662" s="443" t="s">
        <v>4244</v>
      </c>
      <c r="G662" s="242">
        <v>1102812271</v>
      </c>
      <c r="H662" s="1037" t="s">
        <v>4250</v>
      </c>
      <c r="I662" s="93">
        <v>37500000</v>
      </c>
      <c r="J662" s="889" t="s">
        <v>4251</v>
      </c>
      <c r="K662" s="295">
        <v>2018</v>
      </c>
      <c r="L662" s="548">
        <v>43315</v>
      </c>
      <c r="M662" s="548">
        <v>43322</v>
      </c>
      <c r="N662" s="548">
        <v>43496</v>
      </c>
      <c r="O662" s="127">
        <f>COUNTA(Modificaciones!I648,Modificaciones!K648,Modificaciones!M648,Modificaciones!O648)</f>
        <v>0</v>
      </c>
      <c r="P662" s="128">
        <f>VLOOKUP(E662,Modificaciones!$B$7:$Q$900,16,0)</f>
        <v>0</v>
      </c>
      <c r="Q662" s="129">
        <f>COUNTA(Modificaciones!S662,Modificaciones!U662,Modificaciones!W662,Modificaciones!Y662)</f>
        <v>0</v>
      </c>
      <c r="R662" s="130" t="str">
        <f>IF(Modificaciones!Z662=0,"",VLOOKUP(E662,Modificaciones!$B$7:$AA$500,25,0))</f>
        <v/>
      </c>
      <c r="S662" s="131" t="str">
        <f>IF(Modificaciones!AA662=0,"",VLOOKUP(E662,Modificaciones!$B$7:$AA$500,26,0))</f>
        <v/>
      </c>
      <c r="T662" s="881">
        <f t="shared" si="140"/>
        <v>43496</v>
      </c>
      <c r="U662" s="62">
        <f t="shared" si="141"/>
        <v>37500000</v>
      </c>
      <c r="V662" s="172">
        <f>VLOOKUP(E662,Modificaciones!$B$7:$AU$900,46,0)</f>
        <v>4375000</v>
      </c>
      <c r="W662" s="93">
        <f t="shared" si="142"/>
        <v>33125000</v>
      </c>
      <c r="X662" s="309" t="s">
        <v>1095</v>
      </c>
      <c r="Y662" s="878">
        <f t="shared" si="143"/>
        <v>0.11666666666666667</v>
      </c>
      <c r="Z662" s="42">
        <f t="shared" ca="1" si="144"/>
        <v>0.35057471264367818</v>
      </c>
      <c r="AA662" s="43">
        <f t="shared" ca="1" si="145"/>
        <v>0.23390804597701151</v>
      </c>
      <c r="AB662" s="202">
        <f t="shared" ca="1" si="146"/>
        <v>113</v>
      </c>
      <c r="AC662" s="44" t="str">
        <f t="shared" si="147"/>
        <v>NO</v>
      </c>
      <c r="AD662" s="762" t="s">
        <v>1714</v>
      </c>
      <c r="AE662" s="173" t="s">
        <v>1257</v>
      </c>
      <c r="AF662" s="926" t="s">
        <v>4249</v>
      </c>
      <c r="AG662" s="894"/>
      <c r="AH662" s="894" t="s">
        <v>560</v>
      </c>
      <c r="AI662" s="894"/>
      <c r="AJ662" s="305" t="s">
        <v>3901</v>
      </c>
      <c r="AK662" s="181" t="str">
        <f t="shared" ca="1" si="148"/>
        <v>EN EJECUCIÓN</v>
      </c>
      <c r="AL662" s="181" t="s">
        <v>582</v>
      </c>
      <c r="AM662" s="435" t="s">
        <v>391</v>
      </c>
      <c r="AN662" s="872" t="str">
        <f>IFERROR(VLOOKUP(E662,'liquidaciones '!$B$2:$C$1048576,2,0),"NO")</f>
        <v>NO</v>
      </c>
      <c r="AO662" s="972" t="str">
        <f>IFERROR(VLOOKUP(E662,'liquidaciones '!$B$2:$I$1048576,8,0),"")</f>
        <v/>
      </c>
      <c r="AP662" s="435"/>
      <c r="AQ662" s="435" t="s">
        <v>390</v>
      </c>
      <c r="AR662" s="1018" t="s">
        <v>4279</v>
      </c>
      <c r="AS662" s="435"/>
      <c r="AT662" s="995" t="s">
        <v>3916</v>
      </c>
    </row>
    <row r="663" spans="3:46" ht="45" x14ac:dyDescent="0.25">
      <c r="C663" s="893"/>
      <c r="D663" s="893"/>
      <c r="E663" s="894" t="s">
        <v>4245</v>
      </c>
      <c r="F663" s="443" t="s">
        <v>4246</v>
      </c>
      <c r="G663" s="919">
        <v>1065587417</v>
      </c>
      <c r="H663" s="1037" t="s">
        <v>4248</v>
      </c>
      <c r="I663" s="93">
        <v>16404000</v>
      </c>
      <c r="J663" s="889" t="s">
        <v>4247</v>
      </c>
      <c r="K663" s="295">
        <v>2018</v>
      </c>
      <c r="L663" s="548">
        <v>43315</v>
      </c>
      <c r="M663" s="548">
        <v>43322</v>
      </c>
      <c r="N663" s="548">
        <v>43496</v>
      </c>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IF(Modificaciones!Z663=0,"",VLOOKUP(E663,Modificaciones!$B$7:$AA$500,25,0))</f>
        <v/>
      </c>
      <c r="S663" s="131" t="str">
        <f>IF(Modificaciones!AA663=0,"",VLOOKUP(E663,Modificaciones!$B$7:$AA$500,26,0))</f>
        <v/>
      </c>
      <c r="T663" s="881">
        <f t="shared" si="140"/>
        <v>43496</v>
      </c>
      <c r="U663" s="62">
        <f t="shared" si="141"/>
        <v>16404000</v>
      </c>
      <c r="V663" s="172">
        <f>VLOOKUP(E663,Modificaciones!$B$7:$AU$900,46,0)</f>
        <v>1913800</v>
      </c>
      <c r="W663" s="93">
        <f t="shared" si="142"/>
        <v>14490200</v>
      </c>
      <c r="X663" s="309" t="s">
        <v>1095</v>
      </c>
      <c r="Y663" s="878">
        <f t="shared" si="143"/>
        <v>0.11666666666666667</v>
      </c>
      <c r="Z663" s="42">
        <f t="shared" ca="1" si="144"/>
        <v>0.35057471264367818</v>
      </c>
      <c r="AA663" s="43">
        <f t="shared" ca="1" si="145"/>
        <v>0.23390804597701151</v>
      </c>
      <c r="AB663" s="202">
        <f t="shared" ca="1" si="146"/>
        <v>113</v>
      </c>
      <c r="AC663" s="44" t="str">
        <f t="shared" si="147"/>
        <v>NO</v>
      </c>
      <c r="AD663" s="762" t="s">
        <v>1714</v>
      </c>
      <c r="AE663" s="173" t="s">
        <v>1257</v>
      </c>
      <c r="AF663" s="926" t="s">
        <v>4249</v>
      </c>
      <c r="AG663" s="173" t="s">
        <v>1443</v>
      </c>
      <c r="AH663" s="281" t="s">
        <v>560</v>
      </c>
      <c r="AI663" s="894"/>
      <c r="AJ663" s="305" t="s">
        <v>3901</v>
      </c>
      <c r="AK663" s="181" t="str">
        <f t="shared" ca="1" si="148"/>
        <v>EN EJECUCIÓN</v>
      </c>
      <c r="AL663" s="181" t="s">
        <v>582</v>
      </c>
      <c r="AM663" s="435" t="s">
        <v>391</v>
      </c>
      <c r="AN663" s="872" t="str">
        <f>IFERROR(VLOOKUP(E663,'liquidaciones '!$B$2:$C$1048576,2,0),"NO")</f>
        <v>NO</v>
      </c>
      <c r="AO663" s="972" t="str">
        <f>IFERROR(VLOOKUP(E663,'liquidaciones '!$B$2:$I$1048576,8,0),"")</f>
        <v/>
      </c>
      <c r="AP663" s="435"/>
      <c r="AQ663" s="435" t="s">
        <v>390</v>
      </c>
      <c r="AR663" s="1018" t="s">
        <v>1511</v>
      </c>
      <c r="AS663" s="435"/>
      <c r="AT663" s="995" t="s">
        <v>3916</v>
      </c>
    </row>
    <row r="664" spans="3:46" ht="45" x14ac:dyDescent="0.25">
      <c r="C664" s="893">
        <v>243</v>
      </c>
      <c r="D664" s="893"/>
      <c r="E664" s="894" t="s">
        <v>4252</v>
      </c>
      <c r="F664" s="443" t="s">
        <v>4253</v>
      </c>
      <c r="G664" s="919">
        <v>900534413</v>
      </c>
      <c r="H664" s="1037" t="s">
        <v>4254</v>
      </c>
      <c r="I664" s="93">
        <v>393873426</v>
      </c>
      <c r="J664" s="899" t="s">
        <v>4255</v>
      </c>
      <c r="K664" s="295">
        <v>2018</v>
      </c>
      <c r="L664" s="548">
        <v>43308</v>
      </c>
      <c r="M664" s="548">
        <v>43322</v>
      </c>
      <c r="N664" s="548">
        <v>43366</v>
      </c>
      <c r="O664" s="127">
        <f>COUNTA(Modificaciones!I650,Modificaciones!K650,Modificaciones!M650,Modificaciones!O650)</f>
        <v>0</v>
      </c>
      <c r="P664" s="128">
        <f>VLOOKUP(E664,Modificaciones!$B$7:$Q$900,16,0)</f>
        <v>0</v>
      </c>
      <c r="Q664" s="129">
        <f>COUNTA(Modificaciones!S664,Modificaciones!U664,Modificaciones!W664,Modificaciones!Y664)</f>
        <v>1</v>
      </c>
      <c r="R664" s="130" t="str">
        <f>IF(Modificaciones!Z664=0,"",VLOOKUP(E664,Modificaciones!$B$7:$AA$1500,25,0))</f>
        <v>10 días hábiles</v>
      </c>
      <c r="S664" s="131">
        <f>IF(Modificaciones!AA664=0,"",VLOOKUP(E664,Modificaciones!$B$7:$AA$1500,26,0))</f>
        <v>43378</v>
      </c>
      <c r="T664" s="881">
        <f t="shared" si="140"/>
        <v>43378</v>
      </c>
      <c r="U664" s="62">
        <f t="shared" si="141"/>
        <v>393873426</v>
      </c>
      <c r="V664" s="172">
        <f>VLOOKUP(E664,Modificaciones!$B$7:$AU$900,46,0)</f>
        <v>393873426</v>
      </c>
      <c r="W664" s="93">
        <f t="shared" si="142"/>
        <v>0</v>
      </c>
      <c r="X664" s="309" t="s">
        <v>2741</v>
      </c>
      <c r="Y664" s="878">
        <f t="shared" si="143"/>
        <v>1</v>
      </c>
      <c r="Z664" s="42">
        <f t="shared" ca="1" si="144"/>
        <v>1</v>
      </c>
      <c r="AA664" s="43">
        <f t="shared" ca="1" si="145"/>
        <v>0</v>
      </c>
      <c r="AB664" s="202" t="str">
        <f t="shared" ca="1" si="146"/>
        <v/>
      </c>
      <c r="AC664" s="44" t="str">
        <f t="shared" si="147"/>
        <v>SI</v>
      </c>
      <c r="AD664" s="894" t="s">
        <v>1715</v>
      </c>
      <c r="AE664" s="897" t="s">
        <v>1258</v>
      </c>
      <c r="AF664" s="897" t="s">
        <v>4256</v>
      </c>
      <c r="AG664" s="173" t="s">
        <v>1440</v>
      </c>
      <c r="AH664" s="894" t="s">
        <v>560</v>
      </c>
      <c r="AI664" s="894" t="s">
        <v>1510</v>
      </c>
      <c r="AJ664" s="305" t="s">
        <v>3901</v>
      </c>
      <c r="AK664" s="181" t="str">
        <f t="shared" ca="1" si="148"/>
        <v>TERMINO</v>
      </c>
      <c r="AL664" s="181" t="s">
        <v>995</v>
      </c>
      <c r="AM664" s="435" t="s">
        <v>391</v>
      </c>
      <c r="AN664" s="872" t="str">
        <f>IFERROR(VLOOKUP(E664,'liquidaciones '!$B$2:$C$1048576,2,0),"NO")</f>
        <v>NO</v>
      </c>
      <c r="AO664" s="972" t="str">
        <f>IFERROR(VLOOKUP(E664,'liquidaciones '!$B$2:$I$1048576,8,0),"")</f>
        <v/>
      </c>
      <c r="AP664" s="435"/>
      <c r="AQ664" s="435" t="s">
        <v>390</v>
      </c>
      <c r="AR664" s="1018" t="s">
        <v>4257</v>
      </c>
      <c r="AS664" s="435" t="s">
        <v>3804</v>
      </c>
      <c r="AT664" s="995" t="s">
        <v>3916</v>
      </c>
    </row>
    <row r="665" spans="3:46" ht="56.25" x14ac:dyDescent="0.25">
      <c r="C665" s="893">
        <v>185</v>
      </c>
      <c r="D665" s="893"/>
      <c r="E665" s="894" t="s">
        <v>4258</v>
      </c>
      <c r="F665" s="443" t="s">
        <v>2129</v>
      </c>
      <c r="G665" s="919">
        <v>830083523</v>
      </c>
      <c r="H665" s="1037" t="s">
        <v>4260</v>
      </c>
      <c r="I665" s="93">
        <v>6735778</v>
      </c>
      <c r="J665" s="1055" t="s">
        <v>4261</v>
      </c>
      <c r="K665" s="295">
        <v>2018</v>
      </c>
      <c r="L665" s="548">
        <v>43320</v>
      </c>
      <c r="M665" s="548">
        <v>43333</v>
      </c>
      <c r="N665" s="548">
        <v>43544</v>
      </c>
      <c r="O665" s="127">
        <f>COUNTA(Modificaciones!I651,Modificaciones!K651,Modificaciones!M651,Modificaciones!O651)</f>
        <v>0</v>
      </c>
      <c r="P665" s="128">
        <f>VLOOKUP(E665,Modificaciones!$B$7:$Q$900,16,0)</f>
        <v>0</v>
      </c>
      <c r="Q665" s="129">
        <f>COUNTA(Modificaciones!S665,Modificaciones!U665,Modificaciones!W665,Modificaciones!Y665)</f>
        <v>0</v>
      </c>
      <c r="R665" s="130" t="str">
        <f>IF(Modificaciones!Z665=0,"",VLOOKUP(E665,Modificaciones!$B$7:$AA$500,25,0))</f>
        <v/>
      </c>
      <c r="S665" s="131" t="str">
        <f>IF(Modificaciones!AA665=0,"",VLOOKUP(E665,Modificaciones!$B$7:$AA$500,26,0))</f>
        <v/>
      </c>
      <c r="T665" s="881">
        <f t="shared" si="140"/>
        <v>43544</v>
      </c>
      <c r="U665" s="62">
        <f t="shared" si="141"/>
        <v>6735778</v>
      </c>
      <c r="V665" s="172">
        <f>VLOOKUP(E665,Modificaciones!$B$7:$AU$900,46,0)</f>
        <v>0</v>
      </c>
      <c r="W665" s="93">
        <f t="shared" si="142"/>
        <v>6735778</v>
      </c>
      <c r="X665" s="313" t="s">
        <v>4262</v>
      </c>
      <c r="Y665" s="878">
        <f t="shared" si="143"/>
        <v>0</v>
      </c>
      <c r="Z665" s="42">
        <f t="shared" ca="1" si="144"/>
        <v>0.23696682464454977</v>
      </c>
      <c r="AA665" s="43">
        <f t="shared" ca="1" si="145"/>
        <v>0.23696682464454977</v>
      </c>
      <c r="AB665" s="202">
        <f t="shared" ca="1" si="146"/>
        <v>161</v>
      </c>
      <c r="AC665" s="44" t="str">
        <f t="shared" si="147"/>
        <v>NO</v>
      </c>
      <c r="AD665" s="894"/>
      <c r="AE665" s="173" t="s">
        <v>1258</v>
      </c>
      <c r="AF665" s="281" t="s">
        <v>2113</v>
      </c>
      <c r="AG665" s="173" t="s">
        <v>1440</v>
      </c>
      <c r="AH665" s="281" t="s">
        <v>560</v>
      </c>
      <c r="AI665" s="305" t="s">
        <v>1510</v>
      </c>
      <c r="AJ665" s="305" t="s">
        <v>3901</v>
      </c>
      <c r="AK665" s="181" t="str">
        <f t="shared" ca="1" si="148"/>
        <v>EN EJECUCIÓN</v>
      </c>
      <c r="AL665" s="310" t="s">
        <v>582</v>
      </c>
      <c r="AM665" s="435" t="s">
        <v>390</v>
      </c>
      <c r="AN665" s="872" t="str">
        <f>IFERROR(VLOOKUP(E665,'liquidaciones '!$B$2:$C$1048576,2,0),"NO")</f>
        <v>NO</v>
      </c>
      <c r="AO665" s="972" t="str">
        <f>IFERROR(VLOOKUP(E665,'liquidaciones '!$B$2:$I$1048576,8,0),"")</f>
        <v/>
      </c>
      <c r="AP665" s="435"/>
      <c r="AQ665" s="435" t="s">
        <v>390</v>
      </c>
      <c r="AR665" s="1056" t="s">
        <v>4257</v>
      </c>
      <c r="AS665" s="435" t="s">
        <v>3804</v>
      </c>
      <c r="AT665" s="995" t="s">
        <v>3916</v>
      </c>
    </row>
    <row r="666" spans="3:46" ht="30" x14ac:dyDescent="0.25">
      <c r="C666" s="893">
        <v>92</v>
      </c>
      <c r="D666" s="893"/>
      <c r="E666" s="894" t="s">
        <v>4259</v>
      </c>
      <c r="F666" s="443" t="s">
        <v>3786</v>
      </c>
      <c r="G666" s="919">
        <v>830006901</v>
      </c>
      <c r="H666" s="1037" t="s">
        <v>4263</v>
      </c>
      <c r="I666" s="93">
        <v>200870570</v>
      </c>
      <c r="J666" s="899" t="s">
        <v>4264</v>
      </c>
      <c r="K666" s="295">
        <v>2018</v>
      </c>
      <c r="L666" s="548">
        <v>43325</v>
      </c>
      <c r="M666" s="548">
        <v>43325</v>
      </c>
      <c r="N666" s="548">
        <v>43385</v>
      </c>
      <c r="O666" s="127">
        <f>COUNTA(Modificaciones!I652,Modificaciones!K652,Modificaciones!M652,Modificaciones!O652)</f>
        <v>0</v>
      </c>
      <c r="P666" s="128">
        <f>VLOOKUP(E666,Modificaciones!$B$7:$Q$900,16,0)</f>
        <v>0</v>
      </c>
      <c r="Q666" s="129">
        <f>COUNTA(Modificaciones!S666,Modificaciones!U666,Modificaciones!W666,Modificaciones!Y666)</f>
        <v>0</v>
      </c>
      <c r="R666" s="130" t="str">
        <f>IF(Modificaciones!Z666=0,"",VLOOKUP(E666,Modificaciones!$B$7:$AA$500,25,0))</f>
        <v/>
      </c>
      <c r="S666" s="131" t="str">
        <f>IF(Modificaciones!AA666=0,"",VLOOKUP(E666,Modificaciones!$B$7:$AA$500,26,0))</f>
        <v/>
      </c>
      <c r="T666" s="881">
        <f t="shared" si="140"/>
        <v>43385</v>
      </c>
      <c r="U666" s="62">
        <f t="shared" si="141"/>
        <v>200870570</v>
      </c>
      <c r="V666" s="172">
        <f>VLOOKUP(E666,Modificaciones!$B$7:$AU$900,46,0)</f>
        <v>200870204</v>
      </c>
      <c r="W666" s="93">
        <f t="shared" si="142"/>
        <v>366</v>
      </c>
      <c r="X666" s="309"/>
      <c r="Y666" s="878">
        <f t="shared" si="143"/>
        <v>0.99999817793119217</v>
      </c>
      <c r="Z666" s="42">
        <f t="shared" ca="1" si="144"/>
        <v>0.96666666666666667</v>
      </c>
      <c r="AA666" s="43">
        <f t="shared" ca="1" si="145"/>
        <v>-3.3331511264525493E-2</v>
      </c>
      <c r="AB666" s="202">
        <f t="shared" ca="1" si="146"/>
        <v>2</v>
      </c>
      <c r="AC666" s="44" t="str">
        <f t="shared" si="147"/>
        <v>SI</v>
      </c>
      <c r="AD666" s="762" t="s">
        <v>1715</v>
      </c>
      <c r="AE666" s="173" t="s">
        <v>1257</v>
      </c>
      <c r="AF666" s="281" t="s">
        <v>2790</v>
      </c>
      <c r="AG666" s="894"/>
      <c r="AH666" s="894"/>
      <c r="AI666" s="894"/>
      <c r="AJ666" s="305" t="s">
        <v>3901</v>
      </c>
      <c r="AK666" s="181" t="str">
        <f t="shared" ca="1" si="148"/>
        <v>EN EJECUCIÓN</v>
      </c>
      <c r="AL666" s="310" t="s">
        <v>2733</v>
      </c>
      <c r="AM666" s="435"/>
      <c r="AN666" s="872" t="str">
        <f>IFERROR(VLOOKUP(E666,'liquidaciones '!$B$2:$C$1048576,2,0),"NO")</f>
        <v>NO</v>
      </c>
      <c r="AO666" s="972" t="str">
        <f>IFERROR(VLOOKUP(E666,'liquidaciones '!$B$2:$I$1048576,8,0),"")</f>
        <v/>
      </c>
      <c r="AP666" s="435"/>
      <c r="AQ666" s="435" t="s">
        <v>390</v>
      </c>
      <c r="AR666" s="435" t="s">
        <v>1511</v>
      </c>
      <c r="AS666" s="435"/>
      <c r="AT666" s="995" t="s">
        <v>560</v>
      </c>
    </row>
    <row r="667" spans="3:46" ht="45" x14ac:dyDescent="0.25">
      <c r="C667" s="893"/>
      <c r="D667" s="893"/>
      <c r="E667" s="894" t="s">
        <v>4265</v>
      </c>
      <c r="F667" s="443" t="s">
        <v>4266</v>
      </c>
      <c r="G667" s="919">
        <v>40031917</v>
      </c>
      <c r="H667" s="1037" t="s">
        <v>2912</v>
      </c>
      <c r="I667" s="93">
        <v>37500000</v>
      </c>
      <c r="J667" s="889" t="s">
        <v>4267</v>
      </c>
      <c r="K667" s="295">
        <v>2018</v>
      </c>
      <c r="L667" s="548">
        <v>43326</v>
      </c>
      <c r="M667" s="548">
        <v>43328</v>
      </c>
      <c r="N667" s="548">
        <v>43496</v>
      </c>
      <c r="O667" s="127">
        <f>COUNTA(Modificaciones!I653,Modificaciones!K653,Modificaciones!M653,Modificaciones!O653)</f>
        <v>0</v>
      </c>
      <c r="P667" s="128">
        <f>VLOOKUP(E667,Modificaciones!$B$7:$Q$900,16,0)</f>
        <v>0</v>
      </c>
      <c r="Q667" s="129">
        <f>COUNTA(Modificaciones!S667,Modificaciones!U667,Modificaciones!W667,Modificaciones!Y667)</f>
        <v>0</v>
      </c>
      <c r="R667" s="130" t="str">
        <f>IF(Modificaciones!Z667=0,"",VLOOKUP(E667,Modificaciones!$B$7:$AA$500,25,0))</f>
        <v/>
      </c>
      <c r="S667" s="131" t="str">
        <f>IF(Modificaciones!AA667=0,"",VLOOKUP(E667,Modificaciones!$B$7:$AA$500,26,0))</f>
        <v/>
      </c>
      <c r="T667" s="881">
        <f t="shared" si="140"/>
        <v>43496</v>
      </c>
      <c r="U667" s="62">
        <f t="shared" si="141"/>
        <v>37500000</v>
      </c>
      <c r="V667" s="172">
        <f>VLOOKUP(E667,Modificaciones!$B$7:$AU$900,46,0)</f>
        <v>3125000</v>
      </c>
      <c r="W667" s="93">
        <f t="shared" si="142"/>
        <v>34375000</v>
      </c>
      <c r="X667" s="309" t="s">
        <v>1095</v>
      </c>
      <c r="Y667" s="878">
        <f t="shared" si="143"/>
        <v>8.3333333333333329E-2</v>
      </c>
      <c r="Z667" s="42">
        <f t="shared" ca="1" si="144"/>
        <v>0.32738095238095238</v>
      </c>
      <c r="AA667" s="43">
        <f t="shared" ca="1" si="145"/>
        <v>0.24404761904761907</v>
      </c>
      <c r="AB667" s="202">
        <f t="shared" ca="1" si="146"/>
        <v>113</v>
      </c>
      <c r="AC667" s="44" t="str">
        <f t="shared" si="147"/>
        <v>NO</v>
      </c>
      <c r="AD667" s="762" t="s">
        <v>1714</v>
      </c>
      <c r="AE667" s="173" t="s">
        <v>1257</v>
      </c>
      <c r="AF667" s="173" t="s">
        <v>2596</v>
      </c>
      <c r="AG667" s="173" t="s">
        <v>1178</v>
      </c>
      <c r="AH667" s="281" t="s">
        <v>559</v>
      </c>
      <c r="AI667" s="305"/>
      <c r="AJ667" s="305" t="s">
        <v>4055</v>
      </c>
      <c r="AK667" s="181" t="str">
        <f t="shared" ca="1" si="148"/>
        <v>EN EJECUCIÓN</v>
      </c>
      <c r="AL667" s="310" t="s">
        <v>582</v>
      </c>
      <c r="AM667" s="176" t="s">
        <v>391</v>
      </c>
      <c r="AN667" s="872" t="str">
        <f>IFERROR(VLOOKUP(E667,'liquidaciones '!$B$2:$C$1048576,2,0),"NO")</f>
        <v>NO</v>
      </c>
      <c r="AO667" s="972" t="str">
        <f>IFERROR(VLOOKUP(E667,'liquidaciones '!$B$2:$I$1048576,8,0),"")</f>
        <v/>
      </c>
      <c r="AP667" s="435"/>
      <c r="AQ667" s="177" t="s">
        <v>390</v>
      </c>
      <c r="AR667" s="435" t="s">
        <v>3069</v>
      </c>
      <c r="AS667" s="435"/>
      <c r="AT667" s="995" t="s">
        <v>3968</v>
      </c>
    </row>
    <row r="668" spans="3:46" ht="33.75" x14ac:dyDescent="0.25">
      <c r="C668" s="893"/>
      <c r="D668" s="893"/>
      <c r="E668" s="894" t="s">
        <v>4268</v>
      </c>
      <c r="F668" s="443" t="s">
        <v>2936</v>
      </c>
      <c r="G668" s="933">
        <v>1030565608</v>
      </c>
      <c r="H668" s="1033" t="s">
        <v>3052</v>
      </c>
      <c r="I668" s="93">
        <v>23819958</v>
      </c>
      <c r="J668" s="889" t="s">
        <v>4269</v>
      </c>
      <c r="K668" s="295">
        <v>2018</v>
      </c>
      <c r="L668" s="548">
        <v>43325</v>
      </c>
      <c r="M668" s="548">
        <v>43327</v>
      </c>
      <c r="N668" s="548">
        <v>43496</v>
      </c>
      <c r="O668" s="127">
        <f>COUNTA(Modificaciones!I654,Modificaciones!K654,Modificaciones!M654,Modificaciones!O654)</f>
        <v>0</v>
      </c>
      <c r="P668" s="128">
        <f>VLOOKUP(E668,Modificaciones!$B$7:$Q$900,16,0)</f>
        <v>0</v>
      </c>
      <c r="Q668" s="129">
        <f>COUNTA(Modificaciones!S668,Modificaciones!U668,Modificaciones!W668,Modificaciones!Y668)</f>
        <v>0</v>
      </c>
      <c r="R668" s="130" t="str">
        <f>IF(Modificaciones!Z668=0,"",VLOOKUP(E668,Modificaciones!$B$7:$AA$500,25,0))</f>
        <v/>
      </c>
      <c r="S668" s="131" t="str">
        <f>IF(Modificaciones!AA668=0,"",VLOOKUP(E668,Modificaciones!$B$7:$AA$500,26,0))</f>
        <v/>
      </c>
      <c r="T668" s="881">
        <f t="shared" si="140"/>
        <v>43496</v>
      </c>
      <c r="U668" s="62">
        <f t="shared" si="141"/>
        <v>23819958</v>
      </c>
      <c r="V668" s="172">
        <f>VLOOKUP(E668,Modificaciones!$B$7:$AU$900,46,0)</f>
        <v>2117330</v>
      </c>
      <c r="W668" s="93">
        <f t="shared" si="142"/>
        <v>21702628</v>
      </c>
      <c r="X668" s="309" t="s">
        <v>2617</v>
      </c>
      <c r="Y668" s="878">
        <f t="shared" si="143"/>
        <v>8.8888905681529753E-2</v>
      </c>
      <c r="Z668" s="42">
        <f t="shared" ca="1" si="144"/>
        <v>0.33136094674556216</v>
      </c>
      <c r="AA668" s="43">
        <f t="shared" ca="1" si="145"/>
        <v>0.24247204106403242</v>
      </c>
      <c r="AB668" s="202">
        <f t="shared" ca="1" si="146"/>
        <v>113</v>
      </c>
      <c r="AC668" s="44" t="str">
        <f t="shared" si="147"/>
        <v>NO</v>
      </c>
      <c r="AD668" s="762" t="s">
        <v>1714</v>
      </c>
      <c r="AE668" s="173" t="s">
        <v>1258</v>
      </c>
      <c r="AF668" s="173" t="s">
        <v>2176</v>
      </c>
      <c r="AG668" s="173" t="s">
        <v>1178</v>
      </c>
      <c r="AH668" s="281" t="s">
        <v>560</v>
      </c>
      <c r="AI668" s="305" t="s">
        <v>1510</v>
      </c>
      <c r="AJ668" s="305" t="s">
        <v>3901</v>
      </c>
      <c r="AK668" s="181" t="str">
        <f t="shared" ca="1" si="148"/>
        <v>EN EJECUCIÓN</v>
      </c>
      <c r="AL668" s="181" t="s">
        <v>582</v>
      </c>
      <c r="AM668" s="435" t="s">
        <v>391</v>
      </c>
      <c r="AN668" s="872" t="str">
        <f>IFERROR(VLOOKUP(E668,'liquidaciones '!$B$2:$C$1048576,2,0),"NO")</f>
        <v>NO</v>
      </c>
      <c r="AO668" s="972" t="str">
        <f>IFERROR(VLOOKUP(E668,'liquidaciones '!$B$2:$I$1048576,8,0),"")</f>
        <v/>
      </c>
      <c r="AP668" s="435"/>
      <c r="AQ668" s="177" t="s">
        <v>390</v>
      </c>
      <c r="AR668" s="177" t="s">
        <v>1511</v>
      </c>
      <c r="AS668" s="435" t="s">
        <v>3804</v>
      </c>
      <c r="AT668" s="995" t="s">
        <v>3916</v>
      </c>
    </row>
    <row r="669" spans="3:46" ht="45" x14ac:dyDescent="0.25">
      <c r="C669" s="893">
        <v>136</v>
      </c>
      <c r="D669" s="893"/>
      <c r="E669" s="894" t="s">
        <v>4270</v>
      </c>
      <c r="F669" s="443" t="s">
        <v>2972</v>
      </c>
      <c r="G669" s="933">
        <v>900170405</v>
      </c>
      <c r="H669" s="1035" t="s">
        <v>2973</v>
      </c>
      <c r="I669" s="93">
        <v>52412300</v>
      </c>
      <c r="J669" s="889" t="s">
        <v>4271</v>
      </c>
      <c r="K669" s="295">
        <v>2018</v>
      </c>
      <c r="L669" s="548">
        <v>43326</v>
      </c>
      <c r="M669" s="548">
        <v>43335</v>
      </c>
      <c r="N669" s="548">
        <v>43577</v>
      </c>
      <c r="O669" s="127">
        <f>COUNTA(Modificaciones!I655,Modificaciones!K655,Modificaciones!M655,Modificaciones!O655)</f>
        <v>0</v>
      </c>
      <c r="P669" s="128">
        <f>VLOOKUP(E669,Modificaciones!$B$7:$Q$900,16,0)</f>
        <v>0</v>
      </c>
      <c r="Q669" s="129">
        <f>COUNTA(Modificaciones!S669,Modificaciones!U669,Modificaciones!W669,Modificaciones!Y669)</f>
        <v>0</v>
      </c>
      <c r="R669" s="130" t="str">
        <f>IF(Modificaciones!Z669=0,"",VLOOKUP(E669,Modificaciones!$B$7:$AA$500,25,0))</f>
        <v/>
      </c>
      <c r="S669" s="131" t="str">
        <f>IF(Modificaciones!AA669=0,"",VLOOKUP(E669,Modificaciones!$B$7:$AA$500,26,0))</f>
        <v/>
      </c>
      <c r="T669" s="881">
        <f t="shared" si="140"/>
        <v>43577</v>
      </c>
      <c r="U669" s="62">
        <f t="shared" si="141"/>
        <v>52412300</v>
      </c>
      <c r="V669" s="172">
        <f>VLOOKUP(E669,Modificaciones!$B$7:$AU$900,46,0)</f>
        <v>0</v>
      </c>
      <c r="W669" s="93">
        <f t="shared" si="142"/>
        <v>52412300</v>
      </c>
      <c r="X669" s="315" t="s">
        <v>2525</v>
      </c>
      <c r="Y669" s="878">
        <f t="shared" si="143"/>
        <v>0</v>
      </c>
      <c r="Z669" s="42">
        <f t="shared" ca="1" si="144"/>
        <v>0.19834710743801653</v>
      </c>
      <c r="AA669" s="43">
        <f t="shared" ca="1" si="145"/>
        <v>0.19834710743801653</v>
      </c>
      <c r="AB669" s="202">
        <f t="shared" ca="1" si="146"/>
        <v>194</v>
      </c>
      <c r="AC669" s="44" t="str">
        <f t="shared" si="147"/>
        <v>NO</v>
      </c>
      <c r="AD669" s="762" t="s">
        <v>1713</v>
      </c>
      <c r="AE669" s="173" t="s">
        <v>1257</v>
      </c>
      <c r="AF669" s="301" t="s">
        <v>1176</v>
      </c>
      <c r="AG669" s="173" t="s">
        <v>1436</v>
      </c>
      <c r="AH669" s="281" t="s">
        <v>560</v>
      </c>
      <c r="AI669" s="174" t="s">
        <v>1390</v>
      </c>
      <c r="AJ669" s="305" t="s">
        <v>3901</v>
      </c>
      <c r="AK669" s="181" t="str">
        <f t="shared" ca="1" si="148"/>
        <v>EN EJECUCIÓN</v>
      </c>
      <c r="AL669" s="173" t="s">
        <v>577</v>
      </c>
      <c r="AM669" s="176" t="s">
        <v>390</v>
      </c>
      <c r="AN669" s="872" t="str">
        <f>IFERROR(VLOOKUP(E669,'liquidaciones '!$B$2:$C$1048576,2,0),"NO")</f>
        <v>NO</v>
      </c>
      <c r="AO669" s="972" t="str">
        <f>IFERROR(VLOOKUP(E669,'liquidaciones '!$B$2:$I$1048576,8,0),"")</f>
        <v/>
      </c>
      <c r="AP669" s="435"/>
      <c r="AQ669" s="435" t="s">
        <v>390</v>
      </c>
      <c r="AR669" s="435" t="s">
        <v>1511</v>
      </c>
      <c r="AS669" s="435" t="s">
        <v>3809</v>
      </c>
      <c r="AT669" s="995" t="s">
        <v>560</v>
      </c>
    </row>
    <row r="670" spans="3:46" ht="33.75" x14ac:dyDescent="0.25">
      <c r="C670" s="893"/>
      <c r="D670" s="893"/>
      <c r="E670" s="894" t="s">
        <v>4272</v>
      </c>
      <c r="F670" s="443" t="s">
        <v>4273</v>
      </c>
      <c r="G670" s="919">
        <v>1018414677</v>
      </c>
      <c r="H670" s="1037" t="s">
        <v>4274</v>
      </c>
      <c r="I670" s="93">
        <v>32814000</v>
      </c>
      <c r="J670" s="1055" t="s">
        <v>4276</v>
      </c>
      <c r="K670" s="295">
        <v>2018</v>
      </c>
      <c r="L670" s="548">
        <v>43333</v>
      </c>
      <c r="M670" s="548">
        <v>43335</v>
      </c>
      <c r="N670" s="548">
        <v>43496</v>
      </c>
      <c r="O670" s="127">
        <f>COUNTA(Modificaciones!I656,Modificaciones!K656,Modificaciones!M656,Modificaciones!O656)</f>
        <v>0</v>
      </c>
      <c r="P670" s="128">
        <f>VLOOKUP(E670,Modificaciones!$B$7:$Q$900,16,0)</f>
        <v>0</v>
      </c>
      <c r="Q670" s="129">
        <f>COUNTA(Modificaciones!S670,Modificaciones!U670,Modificaciones!W670,Modificaciones!Y670)</f>
        <v>0</v>
      </c>
      <c r="R670" s="130" t="str">
        <f>IF(Modificaciones!Z670=0,"",VLOOKUP(E670,Modificaciones!$B$7:$AA$500,25,0))</f>
        <v/>
      </c>
      <c r="S670" s="131" t="str">
        <f>IF(Modificaciones!AA670=0,"",VLOOKUP(E670,Modificaciones!$B$7:$AA$500,26,0))</f>
        <v/>
      </c>
      <c r="T670" s="881">
        <f t="shared" si="140"/>
        <v>43496</v>
      </c>
      <c r="U670" s="62">
        <f t="shared" si="141"/>
        <v>32814000</v>
      </c>
      <c r="V670" s="172">
        <f>VLOOKUP(E670,Modificaciones!$B$7:$AU$900,46,0)</f>
        <v>1458400</v>
      </c>
      <c r="W670" s="93">
        <f t="shared" si="142"/>
        <v>31355600</v>
      </c>
      <c r="X670" s="309" t="s">
        <v>1095</v>
      </c>
      <c r="Y670" s="878">
        <f t="shared" si="143"/>
        <v>4.4444444444444446E-2</v>
      </c>
      <c r="Z670" s="42">
        <f t="shared" ca="1" si="144"/>
        <v>0.29813664596273293</v>
      </c>
      <c r="AA670" s="43">
        <f t="shared" ca="1" si="145"/>
        <v>0.25369220151828847</v>
      </c>
      <c r="AB670" s="202">
        <f t="shared" ca="1" si="146"/>
        <v>113</v>
      </c>
      <c r="AC670" s="44" t="str">
        <f t="shared" si="147"/>
        <v>NO</v>
      </c>
      <c r="AD670" s="762" t="s">
        <v>1714</v>
      </c>
      <c r="AE670" s="173" t="s">
        <v>1257</v>
      </c>
      <c r="AF670" s="173" t="s">
        <v>4275</v>
      </c>
      <c r="AG670" s="173"/>
      <c r="AH670" s="281" t="s">
        <v>560</v>
      </c>
      <c r="AI670" s="305" t="s">
        <v>4237</v>
      </c>
      <c r="AJ670" s="305" t="s">
        <v>3901</v>
      </c>
      <c r="AK670" s="181" t="str">
        <f t="shared" ca="1" si="148"/>
        <v>EN EJECUCIÓN</v>
      </c>
      <c r="AL670" s="181" t="s">
        <v>582</v>
      </c>
      <c r="AM670" s="435" t="s">
        <v>391</v>
      </c>
      <c r="AN670" s="872" t="str">
        <f>IFERROR(VLOOKUP(E670,'liquidaciones '!$B$2:$C$1048576,2,0),"NO")</f>
        <v>NO</v>
      </c>
      <c r="AO670" s="972" t="str">
        <f>IFERROR(VLOOKUP(E670,'liquidaciones '!$B$2:$I$1048576,8,0),"")</f>
        <v/>
      </c>
      <c r="AP670" s="435"/>
      <c r="AQ670" s="435" t="s">
        <v>390</v>
      </c>
      <c r="AR670" s="1018" t="s">
        <v>4279</v>
      </c>
      <c r="AS670" s="435" t="s">
        <v>4237</v>
      </c>
      <c r="AT670" s="995" t="s">
        <v>560</v>
      </c>
    </row>
    <row r="671" spans="3:46" ht="42" customHeight="1" x14ac:dyDescent="0.25">
      <c r="C671" s="893">
        <v>45</v>
      </c>
      <c r="D671" s="893"/>
      <c r="E671" s="894" t="s">
        <v>4281</v>
      </c>
      <c r="F671" s="443" t="s">
        <v>2976</v>
      </c>
      <c r="G671" s="933">
        <v>900062917</v>
      </c>
      <c r="H671" s="1035" t="s">
        <v>3065</v>
      </c>
      <c r="I671" s="93">
        <v>40935600</v>
      </c>
      <c r="J671" s="899" t="s">
        <v>4282</v>
      </c>
      <c r="K671" s="295">
        <v>2018</v>
      </c>
      <c r="L671" s="548">
        <v>43312</v>
      </c>
      <c r="M671" s="548">
        <v>43322</v>
      </c>
      <c r="N671" s="548">
        <v>43506</v>
      </c>
      <c r="O671" s="127">
        <f>COUNTA(Modificaciones!I657,Modificaciones!K657,Modificaciones!M657,Modificaciones!O657)</f>
        <v>0</v>
      </c>
      <c r="P671" s="128">
        <f>VLOOKUP(E671,Modificaciones!$B$7:$Q$900,16,0)</f>
        <v>0</v>
      </c>
      <c r="Q671" s="129">
        <f>COUNTA(Modificaciones!S671,Modificaciones!U671,Modificaciones!W671,Modificaciones!Y671)</f>
        <v>0</v>
      </c>
      <c r="R671" s="130" t="str">
        <f>IF(Modificaciones!Z671=0,"",VLOOKUP(E671,Modificaciones!$B$7:$AA$500,25,0))</f>
        <v/>
      </c>
      <c r="S671" s="131" t="str">
        <f>IF(Modificaciones!AA671=0,"",VLOOKUP(E671,Modificaciones!$B$7:$AA$500,26,0))</f>
        <v/>
      </c>
      <c r="T671" s="881">
        <f t="shared" si="140"/>
        <v>43506</v>
      </c>
      <c r="U671" s="62">
        <f t="shared" si="141"/>
        <v>40935600</v>
      </c>
      <c r="V671" s="172">
        <f>VLOOKUP(E671,Modificaciones!$B$7:$AU$900,46,0)</f>
        <v>0</v>
      </c>
      <c r="W671" s="93">
        <f t="shared" si="142"/>
        <v>40935600</v>
      </c>
      <c r="X671" s="309" t="s">
        <v>1868</v>
      </c>
      <c r="Y671" s="878">
        <f t="shared" si="143"/>
        <v>0</v>
      </c>
      <c r="Z671" s="42">
        <f t="shared" ca="1" si="144"/>
        <v>0.33152173913043476</v>
      </c>
      <c r="AA671" s="43">
        <f t="shared" ca="1" si="145"/>
        <v>0.33152173913043476</v>
      </c>
      <c r="AB671" s="202">
        <f t="shared" ca="1" si="146"/>
        <v>123</v>
      </c>
      <c r="AC671" s="44" t="str">
        <f t="shared" si="147"/>
        <v>NO</v>
      </c>
      <c r="AD671" s="762" t="s">
        <v>1713</v>
      </c>
      <c r="AE671" s="173" t="s">
        <v>1257</v>
      </c>
      <c r="AF671" s="281" t="s">
        <v>1138</v>
      </c>
      <c r="AG671" s="173" t="s">
        <v>1437</v>
      </c>
      <c r="AH671" s="281" t="s">
        <v>562</v>
      </c>
      <c r="AI671" s="174"/>
      <c r="AJ671" s="305" t="s">
        <v>2845</v>
      </c>
      <c r="AK671" s="181" t="str">
        <f t="shared" ca="1" si="148"/>
        <v>EN EJECUCIÓN</v>
      </c>
      <c r="AL671" s="310" t="s">
        <v>575</v>
      </c>
      <c r="AM671" s="176" t="s">
        <v>390</v>
      </c>
      <c r="AN671" s="872" t="str">
        <f>IFERROR(VLOOKUP(E671,'liquidaciones '!$B$2:$C$1048576,2,0),"NO")</f>
        <v>NO</v>
      </c>
      <c r="AO671" s="972" t="str">
        <f>IFERROR(VLOOKUP(E671,'liquidaciones '!$B$2:$I$1048576,8,0),"")</f>
        <v/>
      </c>
      <c r="AP671" s="435"/>
      <c r="AQ671" s="177" t="s">
        <v>390</v>
      </c>
      <c r="AR671" s="177" t="s">
        <v>2977</v>
      </c>
      <c r="AS671" s="435"/>
      <c r="AT671" s="995" t="s">
        <v>560</v>
      </c>
    </row>
    <row r="672" spans="3:46" ht="33.75" x14ac:dyDescent="0.25">
      <c r="C672" s="893"/>
      <c r="D672" s="893"/>
      <c r="E672" s="894" t="s">
        <v>4283</v>
      </c>
      <c r="F672" s="443" t="s">
        <v>4285</v>
      </c>
      <c r="G672" s="919">
        <v>79569100</v>
      </c>
      <c r="H672" s="1037" t="s">
        <v>4286</v>
      </c>
      <c r="I672" s="93">
        <v>34375000</v>
      </c>
      <c r="J672" s="899" t="s">
        <v>4284</v>
      </c>
      <c r="K672" s="295">
        <v>2018</v>
      </c>
      <c r="L672" s="548">
        <v>43335</v>
      </c>
      <c r="M672" s="548">
        <v>43340</v>
      </c>
      <c r="N672" s="548">
        <v>43496</v>
      </c>
      <c r="O672" s="127">
        <f>COUNTA(Modificaciones!I658,Modificaciones!K658,Modificaciones!M658,Modificaciones!O658)</f>
        <v>0</v>
      </c>
      <c r="P672" s="128">
        <f>VLOOKUP(E672,Modificaciones!$B$7:$Q$900,16,0)</f>
        <v>0</v>
      </c>
      <c r="Q672" s="129">
        <f>COUNTA(Modificaciones!S672,Modificaciones!U672,Modificaciones!W672,Modificaciones!Y672)</f>
        <v>0</v>
      </c>
      <c r="R672" s="130" t="str">
        <f>IF(Modificaciones!Z672=0,"",VLOOKUP(E672,Modificaciones!$B$7:$AA$500,25,0))</f>
        <v/>
      </c>
      <c r="S672" s="131" t="str">
        <f>IF(Modificaciones!AA672=0,"",VLOOKUP(E672,Modificaciones!$B$7:$AA$500,26,0))</f>
        <v/>
      </c>
      <c r="T672" s="881">
        <f t="shared" si="140"/>
        <v>43496</v>
      </c>
      <c r="U672" s="62">
        <f t="shared" si="141"/>
        <v>34375000</v>
      </c>
      <c r="V672" s="172">
        <f>VLOOKUP(E672,Modificaciones!$B$7:$AU$900,46,0)</f>
        <v>0</v>
      </c>
      <c r="W672" s="93">
        <f t="shared" si="142"/>
        <v>34375000</v>
      </c>
      <c r="X672" s="309" t="s">
        <v>1095</v>
      </c>
      <c r="Y672" s="878">
        <f t="shared" si="143"/>
        <v>0</v>
      </c>
      <c r="Z672" s="42">
        <f t="shared" ca="1" si="144"/>
        <v>0.27564102564102566</v>
      </c>
      <c r="AA672" s="43">
        <f t="shared" ca="1" si="145"/>
        <v>0.27564102564102566</v>
      </c>
      <c r="AB672" s="202">
        <f t="shared" ca="1" si="146"/>
        <v>113</v>
      </c>
      <c r="AC672" s="44" t="str">
        <f t="shared" si="147"/>
        <v>NO</v>
      </c>
      <c r="AD672" s="762" t="s">
        <v>1714</v>
      </c>
      <c r="AE672" s="173" t="s">
        <v>1258</v>
      </c>
      <c r="AF672" s="173" t="s">
        <v>4287</v>
      </c>
      <c r="AG672" s="173" t="s">
        <v>1178</v>
      </c>
      <c r="AH672" s="281" t="s">
        <v>560</v>
      </c>
      <c r="AI672" s="305" t="s">
        <v>1510</v>
      </c>
      <c r="AJ672" s="305" t="s">
        <v>3901</v>
      </c>
      <c r="AK672" s="181" t="str">
        <f t="shared" ca="1" si="148"/>
        <v>EN EJECUCIÓN</v>
      </c>
      <c r="AL672" s="181" t="s">
        <v>582</v>
      </c>
      <c r="AM672" s="435" t="s">
        <v>391</v>
      </c>
      <c r="AN672" s="872" t="str">
        <f>IFERROR(VLOOKUP(E672,'liquidaciones '!$B$2:$C$1048576,2,0),"NO")</f>
        <v>NO</v>
      </c>
      <c r="AO672" s="972" t="str">
        <f>IFERROR(VLOOKUP(E672,'liquidaciones '!$B$2:$I$1048576,8,0),"")</f>
        <v/>
      </c>
      <c r="AP672" s="435"/>
      <c r="AQ672" s="177" t="s">
        <v>390</v>
      </c>
      <c r="AR672" s="177" t="s">
        <v>4257</v>
      </c>
      <c r="AS672" s="435" t="s">
        <v>3804</v>
      </c>
      <c r="AT672" s="995" t="s">
        <v>3916</v>
      </c>
    </row>
    <row r="673" spans="3:46" ht="30" x14ac:dyDescent="0.25">
      <c r="C673" s="893"/>
      <c r="D673" s="893"/>
      <c r="E673" s="894" t="s">
        <v>4288</v>
      </c>
      <c r="F673" s="443" t="s">
        <v>4289</v>
      </c>
      <c r="G673" s="919" t="s">
        <v>4290</v>
      </c>
      <c r="H673" s="1037" t="s">
        <v>4291</v>
      </c>
      <c r="I673" s="93">
        <v>966456</v>
      </c>
      <c r="J673" s="899" t="s">
        <v>4292</v>
      </c>
      <c r="K673" s="295">
        <v>2018</v>
      </c>
      <c r="L673" s="548">
        <v>43340</v>
      </c>
      <c r="M673" s="548">
        <v>43340</v>
      </c>
      <c r="N673" s="548">
        <v>43349</v>
      </c>
      <c r="O673" s="127">
        <f>COUNTA(Modificaciones!I659,Modificaciones!K659,Modificaciones!M659,Modificaciones!O659)</f>
        <v>0</v>
      </c>
      <c r="P673" s="128">
        <f>VLOOKUP(E673,Modificaciones!$B$7:$Q$900,16,0)</f>
        <v>0</v>
      </c>
      <c r="Q673" s="129">
        <f>COUNTA(Modificaciones!S673,Modificaciones!U673,Modificaciones!W673,Modificaciones!Y673)</f>
        <v>0</v>
      </c>
      <c r="R673" s="130" t="str">
        <f>IF(Modificaciones!Z673=0,"",VLOOKUP(E673,Modificaciones!$B$7:$AA$500,25,0))</f>
        <v/>
      </c>
      <c r="S673" s="131" t="str">
        <f>IF(Modificaciones!AA673=0,"",VLOOKUP(E673,Modificaciones!$B$7:$AA$500,26,0))</f>
        <v/>
      </c>
      <c r="T673" s="881">
        <f t="shared" si="140"/>
        <v>43349</v>
      </c>
      <c r="U673" s="62">
        <f t="shared" si="141"/>
        <v>966456</v>
      </c>
      <c r="V673" s="172">
        <f>VLOOKUP(E673,Modificaciones!$B$7:$AU$900,46,0)</f>
        <v>0</v>
      </c>
      <c r="W673" s="93">
        <f t="shared" si="142"/>
        <v>966456</v>
      </c>
      <c r="X673" s="309"/>
      <c r="Y673" s="878">
        <f t="shared" si="143"/>
        <v>0</v>
      </c>
      <c r="Z673" s="42">
        <f t="shared" ca="1" si="144"/>
        <v>1</v>
      </c>
      <c r="AA673" s="43">
        <f t="shared" ca="1" si="145"/>
        <v>1</v>
      </c>
      <c r="AB673" s="202" t="str">
        <f t="shared" ca="1" si="146"/>
        <v/>
      </c>
      <c r="AC673" s="44" t="str">
        <f t="shared" si="147"/>
        <v>NO</v>
      </c>
      <c r="AD673" s="894" t="s">
        <v>1715</v>
      </c>
      <c r="AE673" s="897" t="s">
        <v>1257</v>
      </c>
      <c r="AF673" s="897" t="s">
        <v>4293</v>
      </c>
      <c r="AG673" s="894"/>
      <c r="AH673" s="281" t="s">
        <v>560</v>
      </c>
      <c r="AI673" s="894" t="s">
        <v>1390</v>
      </c>
      <c r="AJ673" s="305" t="s">
        <v>3901</v>
      </c>
      <c r="AK673" s="181" t="str">
        <f t="shared" ca="1" si="148"/>
        <v>TERMINO</v>
      </c>
      <c r="AL673" s="310" t="s">
        <v>2733</v>
      </c>
      <c r="AM673" s="435"/>
      <c r="AN673" s="872" t="str">
        <f>IFERROR(VLOOKUP(E673,'liquidaciones '!$B$2:$C$1048576,2,0),"NO")</f>
        <v>NO</v>
      </c>
      <c r="AO673" s="972" t="str">
        <f>IFERROR(VLOOKUP(E673,'liquidaciones '!$B$2:$I$1048576,8,0),"")</f>
        <v/>
      </c>
      <c r="AP673" s="435"/>
      <c r="AQ673" s="435" t="s">
        <v>390</v>
      </c>
      <c r="AR673" s="1018" t="s">
        <v>1511</v>
      </c>
      <c r="AS673" s="435" t="s">
        <v>4294</v>
      </c>
      <c r="AT673" s="995" t="s">
        <v>3916</v>
      </c>
    </row>
    <row r="674" spans="3:46" ht="56.25" x14ac:dyDescent="0.25">
      <c r="C674" s="893">
        <v>2</v>
      </c>
      <c r="D674" s="893"/>
      <c r="E674" s="894" t="s">
        <v>4295</v>
      </c>
      <c r="F674" s="443" t="s">
        <v>38</v>
      </c>
      <c r="G674" s="919">
        <v>830053669</v>
      </c>
      <c r="H674" s="1037" t="s">
        <v>4296</v>
      </c>
      <c r="I674" s="93">
        <v>17287703</v>
      </c>
      <c r="J674" s="899" t="s">
        <v>4298</v>
      </c>
      <c r="K674" s="295">
        <v>2018</v>
      </c>
      <c r="L674" s="548">
        <v>43343</v>
      </c>
      <c r="M674" s="548">
        <v>43346</v>
      </c>
      <c r="N674" s="548">
        <v>43557</v>
      </c>
      <c r="O674" s="127">
        <f>COUNTA(Modificaciones!I660,Modificaciones!K660,Modificaciones!M660,Modificaciones!O660)</f>
        <v>0</v>
      </c>
      <c r="P674" s="128">
        <f>VLOOKUP(E674,Modificaciones!$B$7:$Q$900,16,0)</f>
        <v>0</v>
      </c>
      <c r="Q674" s="129">
        <f>COUNTA(Modificaciones!S674,Modificaciones!U674,Modificaciones!W674,Modificaciones!Y674)</f>
        <v>0</v>
      </c>
      <c r="R674" s="130" t="str">
        <f>IF(Modificaciones!Z674=0,"",VLOOKUP(E674,Modificaciones!$B$7:$AA$500,25,0))</f>
        <v/>
      </c>
      <c r="S674" s="131" t="str">
        <f>IF(Modificaciones!AA674=0,"",VLOOKUP(E674,Modificaciones!$B$7:$AA$500,26,0))</f>
        <v/>
      </c>
      <c r="T674" s="881">
        <f t="shared" si="140"/>
        <v>43557</v>
      </c>
      <c r="U674" s="62">
        <f t="shared" si="141"/>
        <v>17287703</v>
      </c>
      <c r="V674" s="172">
        <f>VLOOKUP(E674,Modificaciones!$B$7:$AU$900,46,0)</f>
        <v>0</v>
      </c>
      <c r="W674" s="93">
        <f t="shared" si="142"/>
        <v>17287703</v>
      </c>
      <c r="X674" s="309" t="s">
        <v>1966</v>
      </c>
      <c r="Y674" s="878">
        <f t="shared" si="143"/>
        <v>0</v>
      </c>
      <c r="Z674" s="42">
        <f t="shared" ca="1" si="144"/>
        <v>0.17535545023696683</v>
      </c>
      <c r="AA674" s="43">
        <f t="shared" ca="1" si="145"/>
        <v>0.17535545023696683</v>
      </c>
      <c r="AB674" s="202">
        <f t="shared" ca="1" si="146"/>
        <v>174</v>
      </c>
      <c r="AC674" s="44" t="str">
        <f t="shared" si="147"/>
        <v>NO</v>
      </c>
      <c r="AD674" s="762" t="s">
        <v>1713</v>
      </c>
      <c r="AE674" s="173" t="s">
        <v>1257</v>
      </c>
      <c r="AF674" s="281" t="s">
        <v>1141</v>
      </c>
      <c r="AG674" s="173" t="s">
        <v>1443</v>
      </c>
      <c r="AH674" s="281" t="s">
        <v>559</v>
      </c>
      <c r="AI674" s="894"/>
      <c r="AJ674" s="305" t="s">
        <v>4297</v>
      </c>
      <c r="AK674" s="181" t="str">
        <f t="shared" ca="1" si="148"/>
        <v>EN EJECUCIÓN</v>
      </c>
      <c r="AL674" s="310" t="s">
        <v>575</v>
      </c>
      <c r="AM674" s="435" t="s">
        <v>390</v>
      </c>
      <c r="AN674" s="872" t="str">
        <f>IFERROR(VLOOKUP(E674,'liquidaciones '!$B$2:$C$1048576,2,0),"NO")</f>
        <v>NO</v>
      </c>
      <c r="AO674" s="972" t="str">
        <f>IFERROR(VLOOKUP(E674,'liquidaciones '!$B$2:$I$1048576,8,0),"")</f>
        <v/>
      </c>
      <c r="AP674" s="435"/>
      <c r="AQ674" s="435" t="s">
        <v>390</v>
      </c>
      <c r="AR674" s="177" t="s">
        <v>3069</v>
      </c>
      <c r="AS674" s="435"/>
      <c r="AT674" s="995" t="s">
        <v>559</v>
      </c>
    </row>
    <row r="675" spans="3:46" ht="30" x14ac:dyDescent="0.25">
      <c r="C675" s="893">
        <v>55</v>
      </c>
      <c r="D675" s="893"/>
      <c r="E675" s="894" t="s">
        <v>4303</v>
      </c>
      <c r="F675" s="443" t="s">
        <v>2120</v>
      </c>
      <c r="G675" s="930">
        <v>860007590</v>
      </c>
      <c r="H675" s="1033" t="s">
        <v>2653</v>
      </c>
      <c r="I675" s="93">
        <v>1029000</v>
      </c>
      <c r="J675" s="899" t="s">
        <v>4306</v>
      </c>
      <c r="K675" s="295">
        <v>2018</v>
      </c>
      <c r="L675" s="548">
        <v>43346</v>
      </c>
      <c r="M675" s="548">
        <v>43376</v>
      </c>
      <c r="N675" s="548">
        <v>43740</v>
      </c>
      <c r="O675" s="127">
        <f>COUNTA(Modificaciones!I661,Modificaciones!K661,Modificaciones!M661,Modificaciones!O661)</f>
        <v>0</v>
      </c>
      <c r="P675" s="128">
        <f>VLOOKUP(E675,Modificaciones!$B$7:$Q$900,16,0)</f>
        <v>0</v>
      </c>
      <c r="Q675" s="129">
        <f>COUNTA(Modificaciones!S675,Modificaciones!U675,Modificaciones!W675,Modificaciones!Y675)</f>
        <v>0</v>
      </c>
      <c r="R675" s="130" t="str">
        <f>IF(Modificaciones!Z675=0,"",VLOOKUP(E675,Modificaciones!$B$7:$AA$500,25,0))</f>
        <v/>
      </c>
      <c r="S675" s="131" t="str">
        <f>IF(Modificaciones!AA675=0,"",VLOOKUP(E675,Modificaciones!$B$7:$AA$500,26,0))</f>
        <v/>
      </c>
      <c r="T675" s="881">
        <f t="shared" si="140"/>
        <v>43740</v>
      </c>
      <c r="U675" s="62">
        <f t="shared" si="141"/>
        <v>1029000</v>
      </c>
      <c r="V675" s="172">
        <f>VLOOKUP(E675,Modificaciones!$B$7:$AU$900,46,0)</f>
        <v>0</v>
      </c>
      <c r="W675" s="93">
        <f t="shared" si="142"/>
        <v>1029000</v>
      </c>
      <c r="X675" s="309" t="s">
        <v>2096</v>
      </c>
      <c r="Y675" s="878">
        <f t="shared" si="143"/>
        <v>0</v>
      </c>
      <c r="Z675" s="42">
        <f t="shared" ca="1" si="144"/>
        <v>1.9230769230769232E-2</v>
      </c>
      <c r="AA675" s="43">
        <f t="shared" ca="1" si="145"/>
        <v>1.9230769230769232E-2</v>
      </c>
      <c r="AB675" s="202">
        <f t="shared" ca="1" si="146"/>
        <v>357</v>
      </c>
      <c r="AC675" s="44" t="str">
        <f t="shared" si="147"/>
        <v>NO</v>
      </c>
      <c r="AD675" s="762" t="s">
        <v>1717</v>
      </c>
      <c r="AE675" s="173" t="s">
        <v>1257</v>
      </c>
      <c r="AF675" s="281" t="s">
        <v>1126</v>
      </c>
      <c r="AG675" s="173" t="s">
        <v>1431</v>
      </c>
      <c r="AH675" s="281" t="s">
        <v>564</v>
      </c>
      <c r="AI675" s="305"/>
      <c r="AJ675" s="305" t="s">
        <v>4304</v>
      </c>
      <c r="AK675" s="181" t="str">
        <f t="shared" ca="1" si="148"/>
        <v>EN EJECUCIÓN</v>
      </c>
      <c r="AL675" s="310" t="s">
        <v>582</v>
      </c>
      <c r="AM675" s="176" t="s">
        <v>390</v>
      </c>
      <c r="AN675" s="872" t="str">
        <f>IFERROR(VLOOKUP(E675,'liquidaciones '!$B$2:$C$1048576,2,0),"NO")</f>
        <v>NO</v>
      </c>
      <c r="AO675" s="972" t="str">
        <f>IFERROR(VLOOKUP(E675,'liquidaciones '!$B$2:$I$1048576,8,0),"")</f>
        <v/>
      </c>
      <c r="AP675" s="435"/>
      <c r="AQ675" s="177" t="s">
        <v>390</v>
      </c>
      <c r="AR675" s="177" t="s">
        <v>3069</v>
      </c>
      <c r="AS675" s="435"/>
      <c r="AT675" s="995" t="s">
        <v>3949</v>
      </c>
    </row>
    <row r="676" spans="3:46" ht="33.75" x14ac:dyDescent="0.25">
      <c r="C676" s="893">
        <v>61</v>
      </c>
      <c r="D676" s="893"/>
      <c r="E676" s="894" t="s">
        <v>4305</v>
      </c>
      <c r="F676" s="443" t="s">
        <v>1909</v>
      </c>
      <c r="G676" s="932">
        <v>860019063</v>
      </c>
      <c r="H676" s="1035" t="s">
        <v>2856</v>
      </c>
      <c r="I676" s="93">
        <v>18450000</v>
      </c>
      <c r="J676" s="899" t="s">
        <v>4305</v>
      </c>
      <c r="K676" s="295">
        <v>2018</v>
      </c>
      <c r="L676" s="548">
        <v>43280</v>
      </c>
      <c r="M676" s="548">
        <v>43357</v>
      </c>
      <c r="N676" s="548">
        <v>43721</v>
      </c>
      <c r="O676" s="127">
        <f>COUNTA(Modificaciones!I662,Modificaciones!K662,Modificaciones!M662,Modificaciones!O662)</f>
        <v>0</v>
      </c>
      <c r="P676" s="128">
        <f>VLOOKUP(E676,Modificaciones!$B$7:$Q$900,16,0)</f>
        <v>0</v>
      </c>
      <c r="Q676" s="129">
        <f>COUNTA(Modificaciones!S676,Modificaciones!U676,Modificaciones!W676,Modificaciones!Y676)</f>
        <v>0</v>
      </c>
      <c r="R676" s="130" t="str">
        <f>IF(Modificaciones!Z676=0,"",VLOOKUP(E676,Modificaciones!$B$7:$AA$500,25,0))</f>
        <v/>
      </c>
      <c r="S676" s="131" t="str">
        <f>IF(Modificaciones!AA676=0,"",VLOOKUP(E676,Modificaciones!$B$7:$AA$500,26,0))</f>
        <v/>
      </c>
      <c r="T676" s="881">
        <f t="shared" ref="T676:T691" si="149">MAX(N676,S676)</f>
        <v>43721</v>
      </c>
      <c r="U676" s="62">
        <f t="shared" ref="U676:U691" si="150">I676+P676</f>
        <v>18450000</v>
      </c>
      <c r="V676" s="172">
        <f>VLOOKUP(E676,Modificaciones!$B$7:$AU$900,46,0)</f>
        <v>0</v>
      </c>
      <c r="W676" s="93">
        <f t="shared" ref="W676:W691" si="151">U676-V676</f>
        <v>18450000</v>
      </c>
      <c r="X676" s="309" t="s">
        <v>1912</v>
      </c>
      <c r="Y676" s="878">
        <f t="shared" ref="Y676:Y691" si="152">(V676*100%)/U676</f>
        <v>0</v>
      </c>
      <c r="Z676" s="42">
        <f t="shared" ref="Z676:Z691" ca="1" si="153">IF((($F$3-M676)*100%/(T676-M676))&gt;100%,100%,(($F$3-M676)*100%/(T676-M676)))</f>
        <v>7.1428571428571425E-2</v>
      </c>
      <c r="AA676" s="43">
        <f t="shared" ref="AA676:AA691" ca="1" si="154">Z676-Y676</f>
        <v>7.1428571428571425E-2</v>
      </c>
      <c r="AB676" s="202">
        <f t="shared" ref="AB676:AB691" ca="1" si="155">IF(Z676&lt;100%,T676-$F$3,"")</f>
        <v>338</v>
      </c>
      <c r="AC676" s="44" t="str">
        <f t="shared" ref="AC676:AC691" si="156">IF(Y676&lt;=99.9%,"NO","SI")</f>
        <v>NO</v>
      </c>
      <c r="AD676" s="435" t="s">
        <v>1713</v>
      </c>
      <c r="AE676" s="897" t="s">
        <v>1257</v>
      </c>
      <c r="AF676" s="173" t="s">
        <v>2522</v>
      </c>
      <c r="AG676" s="173" t="s">
        <v>1443</v>
      </c>
      <c r="AH676" s="281" t="s">
        <v>560</v>
      </c>
      <c r="AI676" s="894" t="s">
        <v>4225</v>
      </c>
      <c r="AJ676" s="305" t="s">
        <v>3901</v>
      </c>
      <c r="AK676" s="181" t="str">
        <f t="shared" ref="AK676:AK691" ca="1" si="157">IF(T676&gt;=$F$3,"EN EJECUCIÓN","TERMINO")</f>
        <v>EN EJECUCIÓN</v>
      </c>
      <c r="AL676" s="310" t="s">
        <v>582</v>
      </c>
      <c r="AM676" s="435" t="s">
        <v>390</v>
      </c>
      <c r="AN676" s="872" t="str">
        <f>IFERROR(VLOOKUP(E676,'liquidaciones '!$B$2:$C$1048576,2,0),"NO")</f>
        <v>NO</v>
      </c>
      <c r="AO676" s="972" t="str">
        <f>IFERROR(VLOOKUP(E676,'liquidaciones '!$B$2:$I$1048576,8,0),"")</f>
        <v/>
      </c>
      <c r="AP676" s="435"/>
      <c r="AQ676" s="177" t="s">
        <v>390</v>
      </c>
      <c r="AR676" s="435" t="s">
        <v>2977</v>
      </c>
      <c r="AS676" s="435" t="s">
        <v>4226</v>
      </c>
      <c r="AT676" s="995" t="s">
        <v>559</v>
      </c>
    </row>
    <row r="677" spans="3:46" ht="56.25" x14ac:dyDescent="0.25">
      <c r="C677" s="893"/>
      <c r="D677" s="893"/>
      <c r="E677" s="894" t="s">
        <v>4307</v>
      </c>
      <c r="F677" s="443" t="s">
        <v>4308</v>
      </c>
      <c r="G677" s="919">
        <v>79352706</v>
      </c>
      <c r="H677" s="1037" t="s">
        <v>4309</v>
      </c>
      <c r="I677" s="93">
        <v>27345000</v>
      </c>
      <c r="J677" s="899" t="s">
        <v>4310</v>
      </c>
      <c r="K677" s="295">
        <v>2018</v>
      </c>
      <c r="L677" s="548">
        <v>43346</v>
      </c>
      <c r="M677" s="548">
        <v>43349</v>
      </c>
      <c r="N677" s="548">
        <v>43496</v>
      </c>
      <c r="O677" s="127">
        <f>COUNTA(Modificaciones!I663,Modificaciones!K663,Modificaciones!M663,Modificaciones!O663)</f>
        <v>0</v>
      </c>
      <c r="P677" s="128">
        <f>VLOOKUP(E677,Modificaciones!$B$7:$Q$1900,16,0)</f>
        <v>0</v>
      </c>
      <c r="Q677" s="129">
        <f>COUNTA(Modificaciones!S677,Modificaciones!U677,Modificaciones!W677,Modificaciones!Y677)</f>
        <v>0</v>
      </c>
      <c r="R677" s="130" t="str">
        <f>IF(Modificaciones!Z677=0,"",VLOOKUP(E677,Modificaciones!$B$7:$AA$500,25,0))</f>
        <v/>
      </c>
      <c r="S677" s="131" t="str">
        <f>IF(Modificaciones!AA677=0,"",VLOOKUP(E677,Modificaciones!$B$7:$AA$500,26,0))</f>
        <v/>
      </c>
      <c r="T677" s="881">
        <f t="shared" si="149"/>
        <v>43496</v>
      </c>
      <c r="U677" s="62">
        <f t="shared" si="150"/>
        <v>27345000</v>
      </c>
      <c r="V677" s="172">
        <f>VLOOKUP(E677,Modificaciones!$B$7:$AU$900,46,0)</f>
        <v>0</v>
      </c>
      <c r="W677" s="93">
        <f t="shared" si="151"/>
        <v>27345000</v>
      </c>
      <c r="X677" s="309" t="s">
        <v>1095</v>
      </c>
      <c r="Y677" s="878">
        <f t="shared" si="152"/>
        <v>0</v>
      </c>
      <c r="Z677" s="42">
        <f t="shared" ca="1" si="153"/>
        <v>0.23129251700680273</v>
      </c>
      <c r="AA677" s="43">
        <f t="shared" ca="1" si="154"/>
        <v>0.23129251700680273</v>
      </c>
      <c r="AB677" s="202">
        <f t="shared" ca="1" si="155"/>
        <v>113</v>
      </c>
      <c r="AC677" s="44" t="str">
        <f t="shared" si="156"/>
        <v>NO</v>
      </c>
      <c r="AD677" s="762" t="s">
        <v>1714</v>
      </c>
      <c r="AE677" s="173" t="s">
        <v>1257</v>
      </c>
      <c r="AF677" s="281" t="s">
        <v>2175</v>
      </c>
      <c r="AG677" s="173"/>
      <c r="AH677" s="281" t="s">
        <v>559</v>
      </c>
      <c r="AI677" s="305"/>
      <c r="AJ677" s="305" t="s">
        <v>4297</v>
      </c>
      <c r="AK677" s="181" t="str">
        <f t="shared" ca="1" si="157"/>
        <v>EN EJECUCIÓN</v>
      </c>
      <c r="AL677" s="310" t="s">
        <v>582</v>
      </c>
      <c r="AM677" s="435" t="s">
        <v>391</v>
      </c>
      <c r="AN677" s="872" t="str">
        <f>IFERROR(VLOOKUP(E677,'liquidaciones '!$B$2:$C$1048576,2,0),"NO")</f>
        <v>NO</v>
      </c>
      <c r="AO677" s="972" t="str">
        <f>IFERROR(VLOOKUP(E677,'liquidaciones '!$B$2:$I$1048576,8,0),"")</f>
        <v/>
      </c>
      <c r="AP677" s="435"/>
      <c r="AQ677" s="435" t="s">
        <v>390</v>
      </c>
      <c r="AR677" s="1057" t="s">
        <v>3069</v>
      </c>
      <c r="AS677" s="435"/>
      <c r="AT677" s="995" t="s">
        <v>3968</v>
      </c>
    </row>
    <row r="678" spans="3:46" ht="56.25" x14ac:dyDescent="0.25">
      <c r="C678" s="893">
        <v>175</v>
      </c>
      <c r="D678" s="893"/>
      <c r="E678" s="894" t="s">
        <v>4311</v>
      </c>
      <c r="F678" s="443" t="s">
        <v>184</v>
      </c>
      <c r="G678" s="919" t="s">
        <v>4312</v>
      </c>
      <c r="H678" s="1037" t="s">
        <v>4313</v>
      </c>
      <c r="I678" s="93">
        <v>30000000</v>
      </c>
      <c r="J678" s="899" t="s">
        <v>4314</v>
      </c>
      <c r="K678" s="295">
        <v>2018</v>
      </c>
      <c r="L678" s="548">
        <v>43340</v>
      </c>
      <c r="M678" s="548">
        <v>43355</v>
      </c>
      <c r="N678" s="548">
        <v>43535</v>
      </c>
      <c r="O678" s="127">
        <f>COUNTA(Modificaciones!I664,Modificaciones!K664,Modificaciones!M664,Modificaciones!O664)</f>
        <v>0</v>
      </c>
      <c r="P678" s="128">
        <f>VLOOKUP(E678,Modificaciones!$B$7:$Q$900,16,0)</f>
        <v>0</v>
      </c>
      <c r="Q678" s="129">
        <f>COUNTA(Modificaciones!S678,Modificaciones!U678,Modificaciones!W678,Modificaciones!Y678)</f>
        <v>0</v>
      </c>
      <c r="R678" s="130" t="str">
        <f>IF(Modificaciones!Z678=0,"",VLOOKUP(E678,Modificaciones!$B$7:$AA$500,25,0))</f>
        <v/>
      </c>
      <c r="S678" s="131" t="str">
        <f>IF(Modificaciones!AA678=0,"",VLOOKUP(E678,Modificaciones!$B$7:$AA$500,26,0))</f>
        <v/>
      </c>
      <c r="T678" s="881">
        <f t="shared" si="149"/>
        <v>43535</v>
      </c>
      <c r="U678" s="62">
        <f t="shared" si="150"/>
        <v>30000000</v>
      </c>
      <c r="V678" s="172">
        <f>VLOOKUP(E678,Modificaciones!$B$7:$AU$900,46,0)</f>
        <v>0</v>
      </c>
      <c r="W678" s="93">
        <f t="shared" si="151"/>
        <v>30000000</v>
      </c>
      <c r="X678" s="309" t="s">
        <v>1867</v>
      </c>
      <c r="Y678" s="878">
        <f t="shared" si="152"/>
        <v>0</v>
      </c>
      <c r="Z678" s="42">
        <f t="shared" ca="1" si="153"/>
        <v>0.15555555555555556</v>
      </c>
      <c r="AA678" s="43">
        <f t="shared" ca="1" si="154"/>
        <v>0.15555555555555556</v>
      </c>
      <c r="AB678" s="202">
        <f t="shared" ca="1" si="155"/>
        <v>152</v>
      </c>
      <c r="AC678" s="44" t="str">
        <f t="shared" si="156"/>
        <v>NO</v>
      </c>
      <c r="AD678" s="762" t="s">
        <v>1713</v>
      </c>
      <c r="AE678" s="173" t="s">
        <v>1258</v>
      </c>
      <c r="AF678" s="301" t="s">
        <v>1167</v>
      </c>
      <c r="AG678" s="173" t="s">
        <v>1440</v>
      </c>
      <c r="AH678" s="281" t="s">
        <v>560</v>
      </c>
      <c r="AI678" s="305" t="s">
        <v>1510</v>
      </c>
      <c r="AJ678" s="305" t="s">
        <v>3901</v>
      </c>
      <c r="AK678" s="181" t="str">
        <f t="shared" ca="1" si="157"/>
        <v>EN EJECUCIÓN</v>
      </c>
      <c r="AL678" s="310" t="s">
        <v>576</v>
      </c>
      <c r="AM678" s="435" t="s">
        <v>390</v>
      </c>
      <c r="AN678" s="872" t="str">
        <f>IFERROR(VLOOKUP(E678,'liquidaciones '!$B$2:$C$1048576,2,0),"NO")</f>
        <v>NO</v>
      </c>
      <c r="AO678" s="972" t="str">
        <f>IFERROR(VLOOKUP(E678,'liquidaciones '!$B$2:$I$1048576,8,0),"")</f>
        <v/>
      </c>
      <c r="AP678" s="435"/>
      <c r="AQ678" s="435" t="s">
        <v>390</v>
      </c>
      <c r="AR678" s="1057" t="s">
        <v>4257</v>
      </c>
      <c r="AS678" s="435" t="s">
        <v>3804</v>
      </c>
      <c r="AT678" s="995" t="s">
        <v>560</v>
      </c>
    </row>
    <row r="679" spans="3:46" ht="33.75" x14ac:dyDescent="0.25">
      <c r="C679" s="893">
        <v>9</v>
      </c>
      <c r="D679" s="893"/>
      <c r="E679" s="894" t="s">
        <v>4315</v>
      </c>
      <c r="F679" s="443" t="s">
        <v>1860</v>
      </c>
      <c r="G679" s="919">
        <v>860025639</v>
      </c>
      <c r="H679" s="1037" t="s">
        <v>3068</v>
      </c>
      <c r="I679" s="93">
        <v>15450000</v>
      </c>
      <c r="J679" s="899" t="s">
        <v>4315</v>
      </c>
      <c r="K679" s="295">
        <v>2018</v>
      </c>
      <c r="L679" s="548">
        <v>43280</v>
      </c>
      <c r="M679" s="548">
        <v>43360</v>
      </c>
      <c r="N679" s="548">
        <v>43632</v>
      </c>
      <c r="O679" s="127">
        <f>COUNTA(Modificaciones!I665,Modificaciones!K665,Modificaciones!M665,Modificaciones!O665)</f>
        <v>0</v>
      </c>
      <c r="P679" s="128">
        <f>VLOOKUP(E679,Modificaciones!$B$7:$Q$900,16,0)</f>
        <v>0</v>
      </c>
      <c r="Q679" s="129">
        <f>COUNTA(Modificaciones!S679,Modificaciones!U679,Modificaciones!W679,Modificaciones!Y679)</f>
        <v>0</v>
      </c>
      <c r="R679" s="130" t="str">
        <f>IF(Modificaciones!Z679=0,"",VLOOKUP(E679,Modificaciones!$B$7:$AA$500,25,0))</f>
        <v/>
      </c>
      <c r="S679" s="131" t="str">
        <f>IF(Modificaciones!AA679=0,"",VLOOKUP(E679,Modificaciones!$B$7:$AA$500,26,0))</f>
        <v/>
      </c>
      <c r="T679" s="881">
        <f t="shared" si="149"/>
        <v>43632</v>
      </c>
      <c r="U679" s="62">
        <f t="shared" si="150"/>
        <v>15450000</v>
      </c>
      <c r="V679" s="172">
        <f>VLOOKUP(E679,Modificaciones!$B$7:$AU$900,46,0)</f>
        <v>0</v>
      </c>
      <c r="W679" s="93">
        <f t="shared" si="151"/>
        <v>15450000</v>
      </c>
      <c r="X679" s="309" t="s">
        <v>3007</v>
      </c>
      <c r="Y679" s="878">
        <f t="shared" si="152"/>
        <v>0</v>
      </c>
      <c r="Z679" s="42">
        <f t="shared" ca="1" si="153"/>
        <v>8.455882352941177E-2</v>
      </c>
      <c r="AA679" s="43">
        <f t="shared" ca="1" si="154"/>
        <v>8.455882352941177E-2</v>
      </c>
      <c r="AB679" s="202">
        <f t="shared" ca="1" si="155"/>
        <v>249</v>
      </c>
      <c r="AC679" s="44" t="str">
        <f t="shared" si="156"/>
        <v>NO</v>
      </c>
      <c r="AD679" s="762" t="s">
        <v>1713</v>
      </c>
      <c r="AE679" s="173" t="s">
        <v>1257</v>
      </c>
      <c r="AF679" s="281" t="s">
        <v>1171</v>
      </c>
      <c r="AG679" s="173" t="s">
        <v>1443</v>
      </c>
      <c r="AH679" s="281" t="s">
        <v>560</v>
      </c>
      <c r="AI679" s="894"/>
      <c r="AJ679" s="305" t="s">
        <v>3901</v>
      </c>
      <c r="AK679" s="181" t="str">
        <f t="shared" ca="1" si="157"/>
        <v>EN EJECUCIÓN</v>
      </c>
      <c r="AL679" s="181" t="s">
        <v>582</v>
      </c>
      <c r="AM679" s="435" t="s">
        <v>390</v>
      </c>
      <c r="AN679" s="872" t="str">
        <f>IFERROR(VLOOKUP(E679,'liquidaciones '!$B$2:$C$1048576,2,0),"NO")</f>
        <v>NO</v>
      </c>
      <c r="AO679" s="972" t="str">
        <f>IFERROR(VLOOKUP(E679,'liquidaciones '!$B$2:$I$1048576,8,0),"")</f>
        <v/>
      </c>
      <c r="AP679" s="435"/>
      <c r="AQ679" s="435" t="s">
        <v>390</v>
      </c>
      <c r="AR679" s="1057"/>
      <c r="AS679" s="435" t="s">
        <v>3800</v>
      </c>
      <c r="AT679" s="995" t="s">
        <v>3968</v>
      </c>
    </row>
    <row r="680" spans="3:46" ht="45" x14ac:dyDescent="0.25">
      <c r="C680" s="893"/>
      <c r="D680" s="893"/>
      <c r="E680" s="894" t="s">
        <v>4316</v>
      </c>
      <c r="F680" s="443" t="s">
        <v>4317</v>
      </c>
      <c r="G680" s="919">
        <v>51964728</v>
      </c>
      <c r="H680" s="1037" t="s">
        <v>4318</v>
      </c>
      <c r="I680" s="93">
        <v>17139090</v>
      </c>
      <c r="J680" s="899" t="s">
        <v>4320</v>
      </c>
      <c r="K680" s="295">
        <v>2018</v>
      </c>
      <c r="L680" s="548">
        <v>43353</v>
      </c>
      <c r="M680" s="548">
        <v>43355</v>
      </c>
      <c r="N680" s="548">
        <v>43496</v>
      </c>
      <c r="O680" s="127">
        <f>COUNTA(Modificaciones!I666,Modificaciones!K666,Modificaciones!M666,Modificaciones!O666)</f>
        <v>0</v>
      </c>
      <c r="P680" s="128">
        <f>VLOOKUP(E680,Modificaciones!$B$7:$Q$900,16,0)</f>
        <v>0</v>
      </c>
      <c r="Q680" s="129">
        <f>COUNTA(Modificaciones!S680,Modificaciones!U680,Modificaciones!W680,Modificaciones!Y680)</f>
        <v>0</v>
      </c>
      <c r="R680" s="130" t="str">
        <f>IF(Modificaciones!Z680=0,"",VLOOKUP(E680,Modificaciones!$B$7:$AA$500,25,0))</f>
        <v/>
      </c>
      <c r="S680" s="131" t="str">
        <f>IF(Modificaciones!AA680=0,"",VLOOKUP(E680,Modificaciones!$B$7:$AA$500,26,0))</f>
        <v/>
      </c>
      <c r="T680" s="881">
        <f t="shared" si="149"/>
        <v>43496</v>
      </c>
      <c r="U680" s="62">
        <f t="shared" si="150"/>
        <v>17139090</v>
      </c>
      <c r="V680" s="172">
        <f>VLOOKUP(E680,Modificaciones!$B$7:$AU$900,46,0)</f>
        <v>0</v>
      </c>
      <c r="W680" s="93">
        <f t="shared" si="151"/>
        <v>17139090</v>
      </c>
      <c r="X680" s="309" t="s">
        <v>1095</v>
      </c>
      <c r="Y680" s="878">
        <f t="shared" si="152"/>
        <v>0</v>
      </c>
      <c r="Z680" s="42">
        <f t="shared" ca="1" si="153"/>
        <v>0.19858156028368795</v>
      </c>
      <c r="AA680" s="43">
        <f t="shared" ca="1" si="154"/>
        <v>0.19858156028368795</v>
      </c>
      <c r="AB680" s="202">
        <f t="shared" ca="1" si="155"/>
        <v>113</v>
      </c>
      <c r="AC680" s="44" t="str">
        <f t="shared" si="156"/>
        <v>NO</v>
      </c>
      <c r="AD680" s="762" t="s">
        <v>1714</v>
      </c>
      <c r="AE680" s="173" t="s">
        <v>1257</v>
      </c>
      <c r="AF680" s="173" t="s">
        <v>4319</v>
      </c>
      <c r="AG680" s="173" t="s">
        <v>1431</v>
      </c>
      <c r="AH680" s="281" t="s">
        <v>564</v>
      </c>
      <c r="AI680" s="305"/>
      <c r="AJ680" s="305" t="s">
        <v>4304</v>
      </c>
      <c r="AK680" s="181" t="str">
        <f t="shared" ca="1" si="157"/>
        <v>EN EJECUCIÓN</v>
      </c>
      <c r="AL680" s="181" t="s">
        <v>582</v>
      </c>
      <c r="AM680" s="176" t="s">
        <v>391</v>
      </c>
      <c r="AN680" s="872" t="str">
        <f>IFERROR(VLOOKUP(E680,'liquidaciones '!$B$2:$C$1048576,2,0),"NO")</f>
        <v>NO</v>
      </c>
      <c r="AO680" s="972" t="str">
        <f>IFERROR(VLOOKUP(E680,'liquidaciones '!$B$2:$I$1048576,8,0),"")</f>
        <v/>
      </c>
      <c r="AP680" s="435"/>
      <c r="AQ680" s="177" t="s">
        <v>390</v>
      </c>
      <c r="AR680" s="435" t="s">
        <v>3069</v>
      </c>
      <c r="AS680" s="435"/>
      <c r="AT680" s="995" t="s">
        <v>3949</v>
      </c>
    </row>
    <row r="681" spans="3:46" ht="45" x14ac:dyDescent="0.25">
      <c r="C681" s="893">
        <v>188</v>
      </c>
      <c r="D681" s="893"/>
      <c r="E681" s="894" t="s">
        <v>4321</v>
      </c>
      <c r="F681" s="443" t="s">
        <v>4322</v>
      </c>
      <c r="G681" s="919">
        <v>900105979</v>
      </c>
      <c r="H681" s="1037" t="s">
        <v>4323</v>
      </c>
      <c r="I681" s="93">
        <v>61010740</v>
      </c>
      <c r="J681" s="899" t="s">
        <v>4324</v>
      </c>
      <c r="K681" s="295">
        <v>2018</v>
      </c>
      <c r="L681" s="548">
        <v>43353</v>
      </c>
      <c r="M681" s="548">
        <v>43361</v>
      </c>
      <c r="N681" s="548">
        <v>43513</v>
      </c>
      <c r="O681" s="127">
        <f>COUNTA(Modificaciones!I667,Modificaciones!K667,Modificaciones!M667,Modificaciones!O667)</f>
        <v>0</v>
      </c>
      <c r="P681" s="128">
        <f>VLOOKUP(E681,Modificaciones!$B$7:$Q$900,16,0)</f>
        <v>0</v>
      </c>
      <c r="Q681" s="129">
        <f>COUNTA(Modificaciones!S681,Modificaciones!U681,Modificaciones!W681,Modificaciones!Y681)</f>
        <v>0</v>
      </c>
      <c r="R681" s="130" t="str">
        <f>IF(Modificaciones!Z681=0,"",VLOOKUP(E681,Modificaciones!$B$7:$AA$500,25,0))</f>
        <v/>
      </c>
      <c r="S681" s="131" t="str">
        <f>IF(Modificaciones!AA681=0,"",VLOOKUP(E681,Modificaciones!$B$7:$AA$500,26,0))</f>
        <v/>
      </c>
      <c r="T681" s="881">
        <f t="shared" si="149"/>
        <v>43513</v>
      </c>
      <c r="U681" s="62">
        <f t="shared" si="150"/>
        <v>61010740</v>
      </c>
      <c r="V681" s="172">
        <f>VLOOKUP(E681,Modificaciones!$B$7:$AU$900,46,0)</f>
        <v>0</v>
      </c>
      <c r="W681" s="93">
        <f t="shared" si="151"/>
        <v>61010740</v>
      </c>
      <c r="X681" s="315" t="s">
        <v>2525</v>
      </c>
      <c r="Y681" s="878">
        <f t="shared" si="152"/>
        <v>0</v>
      </c>
      <c r="Z681" s="42">
        <f t="shared" ca="1" si="153"/>
        <v>0.14473684210526316</v>
      </c>
      <c r="AA681" s="43">
        <f t="shared" ca="1" si="154"/>
        <v>0.14473684210526316</v>
      </c>
      <c r="AB681" s="202">
        <f t="shared" ca="1" si="155"/>
        <v>130</v>
      </c>
      <c r="AC681" s="44" t="str">
        <f t="shared" si="156"/>
        <v>NO</v>
      </c>
      <c r="AD681" s="762" t="s">
        <v>1713</v>
      </c>
      <c r="AE681" s="897" t="s">
        <v>1258</v>
      </c>
      <c r="AF681" s="897" t="s">
        <v>2983</v>
      </c>
      <c r="AG681" s="173" t="s">
        <v>1440</v>
      </c>
      <c r="AH681" s="281" t="s">
        <v>560</v>
      </c>
      <c r="AI681" s="894"/>
      <c r="AJ681" s="305" t="s">
        <v>3901</v>
      </c>
      <c r="AK681" s="181" t="str">
        <f t="shared" ca="1" si="157"/>
        <v>EN EJECUCIÓN</v>
      </c>
      <c r="AL681" s="443" t="s">
        <v>2988</v>
      </c>
      <c r="AM681" s="435" t="s">
        <v>390</v>
      </c>
      <c r="AN681" s="872" t="str">
        <f>IFERROR(VLOOKUP(E681,'liquidaciones '!$B$2:$C$1048576,2,0),"NO")</f>
        <v>NO</v>
      </c>
      <c r="AO681" s="972" t="str">
        <f>IFERROR(VLOOKUP(E681,'liquidaciones '!$B$2:$I$1048576,8,0),"")</f>
        <v/>
      </c>
      <c r="AP681" s="435"/>
      <c r="AQ681" s="435" t="s">
        <v>390</v>
      </c>
      <c r="AR681" s="1057" t="s">
        <v>4257</v>
      </c>
      <c r="AS681" s="435" t="s">
        <v>3804</v>
      </c>
      <c r="AT681" s="995" t="s">
        <v>560</v>
      </c>
    </row>
    <row r="682" spans="3:46" ht="33.75" x14ac:dyDescent="0.25">
      <c r="C682" s="893"/>
      <c r="D682" s="893"/>
      <c r="E682" s="894" t="s">
        <v>4325</v>
      </c>
      <c r="F682" s="443" t="s">
        <v>4326</v>
      </c>
      <c r="G682" s="919">
        <v>52888971</v>
      </c>
      <c r="H682" s="1037" t="s">
        <v>4330</v>
      </c>
      <c r="I682" s="93">
        <v>18748000</v>
      </c>
      <c r="J682" s="1061" t="s">
        <v>4331</v>
      </c>
      <c r="K682" s="295">
        <v>2018</v>
      </c>
      <c r="L682" s="548">
        <v>43360</v>
      </c>
      <c r="M682" s="548">
        <v>43367</v>
      </c>
      <c r="N682" s="548">
        <v>43488</v>
      </c>
      <c r="O682" s="127">
        <f>COUNTA(Modificaciones!I668,Modificaciones!K668,Modificaciones!M668,Modificaciones!O668)</f>
        <v>0</v>
      </c>
      <c r="P682" s="128">
        <f>VLOOKUP(E682,Modificaciones!$B$7:$Q$900,16,0)</f>
        <v>0</v>
      </c>
      <c r="Q682" s="129">
        <f>COUNTA(Modificaciones!S682,Modificaciones!U682,Modificaciones!W682,Modificaciones!Y682)</f>
        <v>0</v>
      </c>
      <c r="R682" s="130" t="str">
        <f>IF(Modificaciones!Z682=0,"",VLOOKUP(E682,Modificaciones!$B$7:$AA$500,25,0))</f>
        <v/>
      </c>
      <c r="S682" s="131" t="str">
        <f>IF(Modificaciones!AA682=0,"",VLOOKUP(E682,Modificaciones!$B$7:$AA$500,26,0))</f>
        <v/>
      </c>
      <c r="T682" s="881">
        <f t="shared" si="149"/>
        <v>43488</v>
      </c>
      <c r="U682" s="62">
        <f t="shared" si="150"/>
        <v>18748000</v>
      </c>
      <c r="V682" s="172">
        <f>VLOOKUP(E682,Modificaciones!$B$7:$AU$900,46,0)</f>
        <v>0</v>
      </c>
      <c r="W682" s="93">
        <f t="shared" si="151"/>
        <v>18748000</v>
      </c>
      <c r="X682" s="309" t="s">
        <v>1095</v>
      </c>
      <c r="Y682" s="878">
        <f t="shared" si="152"/>
        <v>0</v>
      </c>
      <c r="Z682" s="42">
        <f t="shared" ca="1" si="153"/>
        <v>0.13223140495867769</v>
      </c>
      <c r="AA682" s="43">
        <f t="shared" ca="1" si="154"/>
        <v>0.13223140495867769</v>
      </c>
      <c r="AB682" s="202">
        <f t="shared" ca="1" si="155"/>
        <v>105</v>
      </c>
      <c r="AC682" s="44" t="str">
        <f t="shared" si="156"/>
        <v>NO</v>
      </c>
      <c r="AD682" s="435" t="s">
        <v>1714</v>
      </c>
      <c r="AE682" s="897" t="s">
        <v>1257</v>
      </c>
      <c r="AF682" s="926" t="s">
        <v>4327</v>
      </c>
      <c r="AG682" s="894"/>
      <c r="AH682" s="894" t="s">
        <v>560</v>
      </c>
      <c r="AI682" s="894"/>
      <c r="AJ682" s="305" t="s">
        <v>3901</v>
      </c>
      <c r="AK682" s="181" t="str">
        <f t="shared" ca="1" si="157"/>
        <v>EN EJECUCIÓN</v>
      </c>
      <c r="AL682" s="181" t="s">
        <v>582</v>
      </c>
      <c r="AM682" s="176" t="s">
        <v>391</v>
      </c>
      <c r="AN682" s="872" t="str">
        <f>IFERROR(VLOOKUP(E682,'liquidaciones '!$B$2:$C$1048576,2,0),"NO")</f>
        <v>NO</v>
      </c>
      <c r="AO682" s="972" t="str">
        <f>IFERROR(VLOOKUP(E682,'liquidaciones '!$B$2:$I$1048576,8,0),"")</f>
        <v/>
      </c>
      <c r="AP682" s="435"/>
      <c r="AQ682" s="435" t="s">
        <v>390</v>
      </c>
      <c r="AR682" s="1057"/>
      <c r="AS682" s="435"/>
      <c r="AT682" s="995" t="s">
        <v>560</v>
      </c>
    </row>
    <row r="683" spans="3:46" ht="33.75" x14ac:dyDescent="0.25">
      <c r="C683" s="893"/>
      <c r="D683" s="893"/>
      <c r="E683" s="894" t="s">
        <v>4328</v>
      </c>
      <c r="F683" s="443" t="s">
        <v>4329</v>
      </c>
      <c r="G683" s="919">
        <v>52959805</v>
      </c>
      <c r="H683" s="1037" t="s">
        <v>4330</v>
      </c>
      <c r="I683" s="93">
        <v>18748000</v>
      </c>
      <c r="J683" s="1059" t="s">
        <v>4331</v>
      </c>
      <c r="K683" s="295">
        <v>2018</v>
      </c>
      <c r="L683" s="548">
        <v>43360</v>
      </c>
      <c r="M683" s="548">
        <v>43367</v>
      </c>
      <c r="N683" s="548">
        <v>43488</v>
      </c>
      <c r="O683" s="127">
        <f>COUNTA(Modificaciones!I669,Modificaciones!K669,Modificaciones!M669,Modificaciones!O669)</f>
        <v>0</v>
      </c>
      <c r="P683" s="128">
        <f>VLOOKUP(E683,Modificaciones!$B$7:$Q$900,16,0)</f>
        <v>0</v>
      </c>
      <c r="Q683" s="129">
        <f>COUNTA(Modificaciones!S683,Modificaciones!U683,Modificaciones!W683,Modificaciones!Y683)</f>
        <v>0</v>
      </c>
      <c r="R683" s="130" t="str">
        <f>IF(Modificaciones!Z683=0,"",VLOOKUP(E683,Modificaciones!$B$7:$AA$500,25,0))</f>
        <v/>
      </c>
      <c r="S683" s="131" t="str">
        <f>IF(Modificaciones!AA683=0,"",VLOOKUP(E683,Modificaciones!$B$7:$AA$500,26,0))</f>
        <v/>
      </c>
      <c r="T683" s="881">
        <f t="shared" si="149"/>
        <v>43488</v>
      </c>
      <c r="U683" s="62">
        <f t="shared" si="150"/>
        <v>18748000</v>
      </c>
      <c r="V683" s="172">
        <f>VLOOKUP(E683,Modificaciones!$B$7:$AU$900,46,0)</f>
        <v>0</v>
      </c>
      <c r="W683" s="93">
        <f t="shared" si="151"/>
        <v>18748000</v>
      </c>
      <c r="X683" s="309" t="s">
        <v>1095</v>
      </c>
      <c r="Y683" s="878">
        <f t="shared" si="152"/>
        <v>0</v>
      </c>
      <c r="Z683" s="42">
        <f t="shared" ca="1" si="153"/>
        <v>0.13223140495867769</v>
      </c>
      <c r="AA683" s="43">
        <f t="shared" ca="1" si="154"/>
        <v>0.13223140495867769</v>
      </c>
      <c r="AB683" s="202">
        <f t="shared" ca="1" si="155"/>
        <v>105</v>
      </c>
      <c r="AC683" s="44" t="str">
        <f t="shared" si="156"/>
        <v>NO</v>
      </c>
      <c r="AD683" s="435" t="s">
        <v>1714</v>
      </c>
      <c r="AE683" s="897" t="s">
        <v>1257</v>
      </c>
      <c r="AF683" s="926" t="s">
        <v>4327</v>
      </c>
      <c r="AG683" s="894"/>
      <c r="AH683" s="894" t="s">
        <v>560</v>
      </c>
      <c r="AI683" s="894"/>
      <c r="AJ683" s="305" t="s">
        <v>3901</v>
      </c>
      <c r="AK683" s="181" t="str">
        <f t="shared" ca="1" si="157"/>
        <v>EN EJECUCIÓN</v>
      </c>
      <c r="AL683" s="181" t="s">
        <v>582</v>
      </c>
      <c r="AM683" s="176" t="s">
        <v>391</v>
      </c>
      <c r="AN683" s="872" t="str">
        <f>IFERROR(VLOOKUP(E683,'liquidaciones '!$B$2:$C$1048576,2,0),"NO")</f>
        <v>NO</v>
      </c>
      <c r="AO683" s="972" t="str">
        <f>IFERROR(VLOOKUP(E683,'liquidaciones '!$B$2:$I$1048576,8,0),"")</f>
        <v/>
      </c>
      <c r="AP683" s="435"/>
      <c r="AQ683" s="435" t="s">
        <v>390</v>
      </c>
      <c r="AR683" s="1058"/>
      <c r="AS683" s="435"/>
      <c r="AT683" s="995" t="s">
        <v>560</v>
      </c>
    </row>
    <row r="684" spans="3:46" x14ac:dyDescent="0.25">
      <c r="C684" s="893"/>
      <c r="D684" s="893"/>
      <c r="E684" s="894"/>
      <c r="F684" s="443"/>
      <c r="G684" s="919"/>
      <c r="H684" s="1037"/>
      <c r="I684" s="93"/>
      <c r="J684" s="895"/>
      <c r="K684" s="295">
        <v>2018</v>
      </c>
      <c r="L684" s="548"/>
      <c r="M684" s="548"/>
      <c r="N684" s="548"/>
      <c r="O684" s="127">
        <f>COUNTA(Modificaciones!I670,Modificaciones!K670,Modificaciones!M670,Modificaciones!O670)</f>
        <v>0</v>
      </c>
      <c r="P684" s="128">
        <f>VLOOKUP(E684,Modificaciones!$B$7:$Q$900,16,0)</f>
        <v>0</v>
      </c>
      <c r="Q684" s="129">
        <f>COUNTA(Modificaciones!S684,Modificaciones!U684,Modificaciones!W684,Modificaciones!Y684)</f>
        <v>0</v>
      </c>
      <c r="R684" s="130" t="str">
        <f>IF(Modificaciones!Z684=0,"",VLOOKUP(E684,Modificaciones!$B$7:$AA$500,25,0))</f>
        <v/>
      </c>
      <c r="S684" s="131" t="str">
        <f>IF(Modificaciones!AA684=0,"",VLOOKUP(E684,Modificaciones!$B$7:$AA$500,26,0))</f>
        <v/>
      </c>
      <c r="T684" s="881">
        <f t="shared" si="149"/>
        <v>0</v>
      </c>
      <c r="U684" s="62">
        <f t="shared" si="150"/>
        <v>0</v>
      </c>
      <c r="V684" s="172">
        <f>VLOOKUP(E684,Modificaciones!$B$7:$AU$900,46,0)</f>
        <v>0</v>
      </c>
      <c r="W684" s="93">
        <f t="shared" si="151"/>
        <v>0</v>
      </c>
      <c r="X684" s="309"/>
      <c r="Y684" s="878" t="e">
        <f t="shared" si="152"/>
        <v>#DIV/0!</v>
      </c>
      <c r="Z684" s="42" t="e">
        <f t="shared" ca="1" si="153"/>
        <v>#DIV/0!</v>
      </c>
      <c r="AA684" s="43" t="e">
        <f t="shared" ca="1" si="154"/>
        <v>#DIV/0!</v>
      </c>
      <c r="AB684" s="202" t="e">
        <f t="shared" ca="1" si="155"/>
        <v>#DIV/0!</v>
      </c>
      <c r="AC684" s="44" t="e">
        <f t="shared" si="156"/>
        <v>#DIV/0!</v>
      </c>
      <c r="AD684" s="894"/>
      <c r="AE684" s="897"/>
      <c r="AF684" s="897"/>
      <c r="AG684" s="894"/>
      <c r="AH684" s="894"/>
      <c r="AI684" s="894"/>
      <c r="AJ684" s="305" t="s">
        <v>2845</v>
      </c>
      <c r="AK684" s="181" t="str">
        <f t="shared" ca="1" si="157"/>
        <v>TERMINO</v>
      </c>
      <c r="AL684" s="443"/>
      <c r="AM684" s="435"/>
      <c r="AN684" s="872" t="str">
        <f>IFERROR(VLOOKUP(E684,'liquidaciones '!$B$2:$C$1048576,2,0),"NO")</f>
        <v>NO</v>
      </c>
      <c r="AO684" s="972" t="str">
        <f>IFERROR(VLOOKUP(E684,'liquidaciones '!$B$2:$I$1048576,8,0),"")</f>
        <v/>
      </c>
      <c r="AP684" s="435"/>
      <c r="AQ684" s="435"/>
      <c r="AR684" s="1057"/>
      <c r="AS684" s="435"/>
      <c r="AT684" s="995"/>
    </row>
    <row r="685" spans="3:46" x14ac:dyDescent="0.25">
      <c r="C685" s="893"/>
      <c r="D685" s="893"/>
      <c r="E685" s="894"/>
      <c r="F685" s="443"/>
      <c r="G685" s="919"/>
      <c r="H685" s="1037"/>
      <c r="I685" s="93"/>
      <c r="J685" s="895"/>
      <c r="K685" s="295">
        <v>2018</v>
      </c>
      <c r="L685" s="548"/>
      <c r="M685" s="548"/>
      <c r="N685" s="548"/>
      <c r="O685" s="127">
        <f>COUNTA(Modificaciones!I671,Modificaciones!K671,Modificaciones!M671,Modificaciones!O671)</f>
        <v>0</v>
      </c>
      <c r="P685" s="128">
        <f>VLOOKUP(E685,Modificaciones!$B$7:$Q$900,16,0)</f>
        <v>0</v>
      </c>
      <c r="Q685" s="129">
        <f>COUNTA(Modificaciones!S685,Modificaciones!U685,Modificaciones!W685,Modificaciones!Y685)</f>
        <v>0</v>
      </c>
      <c r="R685" s="130" t="str">
        <f>IF(Modificaciones!Z685=0,"",VLOOKUP(E685,Modificaciones!$B$7:$AA$500,25,0))</f>
        <v/>
      </c>
      <c r="S685" s="131" t="str">
        <f>IF(Modificaciones!AA685=0,"",VLOOKUP(E685,Modificaciones!$B$7:$AA$500,26,0))</f>
        <v/>
      </c>
      <c r="T685" s="881">
        <f t="shared" si="149"/>
        <v>0</v>
      </c>
      <c r="U685" s="62">
        <f t="shared" si="150"/>
        <v>0</v>
      </c>
      <c r="V685" s="172">
        <f>VLOOKUP(E685,Modificaciones!$B$7:$AU$900,46,0)</f>
        <v>0</v>
      </c>
      <c r="W685" s="93">
        <f t="shared" si="151"/>
        <v>0</v>
      </c>
      <c r="X685" s="309"/>
      <c r="Y685" s="878" t="e">
        <f t="shared" si="152"/>
        <v>#DIV/0!</v>
      </c>
      <c r="Z685" s="42" t="e">
        <f t="shared" ca="1" si="153"/>
        <v>#DIV/0!</v>
      </c>
      <c r="AA685" s="43" t="e">
        <f t="shared" ca="1" si="154"/>
        <v>#DIV/0!</v>
      </c>
      <c r="AB685" s="202" t="e">
        <f t="shared" ca="1" si="155"/>
        <v>#DIV/0!</v>
      </c>
      <c r="AC685" s="44" t="e">
        <f t="shared" si="156"/>
        <v>#DIV/0!</v>
      </c>
      <c r="AD685" s="894"/>
      <c r="AE685" s="897"/>
      <c r="AF685" s="897"/>
      <c r="AG685" s="894"/>
      <c r="AH685" s="894"/>
      <c r="AI685" s="894"/>
      <c r="AJ685" s="305" t="s">
        <v>2845</v>
      </c>
      <c r="AK685" s="181" t="str">
        <f t="shared" ca="1" si="157"/>
        <v>TERMINO</v>
      </c>
      <c r="AL685" s="443"/>
      <c r="AM685" s="435"/>
      <c r="AN685" s="872" t="str">
        <f>IFERROR(VLOOKUP(E685,'liquidaciones '!$B$2:$C$1048576,2,0),"NO")</f>
        <v>NO</v>
      </c>
      <c r="AO685" s="972" t="str">
        <f>IFERROR(VLOOKUP(E685,'liquidaciones '!$B$2:$I$1048576,8,0),"")</f>
        <v/>
      </c>
      <c r="AP685" s="435"/>
      <c r="AQ685" s="435"/>
      <c r="AR685" s="1057"/>
      <c r="AS685" s="435"/>
      <c r="AT685" s="995"/>
    </row>
    <row r="686" spans="3:46" x14ac:dyDescent="0.25">
      <c r="C686" s="893"/>
      <c r="D686" s="893"/>
      <c r="E686" s="894"/>
      <c r="F686" s="443"/>
      <c r="G686" s="919"/>
      <c r="H686" s="1037"/>
      <c r="I686" s="93"/>
      <c r="J686" s="895"/>
      <c r="K686" s="295">
        <v>2018</v>
      </c>
      <c r="L686" s="548"/>
      <c r="M686" s="548"/>
      <c r="N686" s="548"/>
      <c r="O686" s="127">
        <f>COUNTA(Modificaciones!I672,Modificaciones!K672,Modificaciones!M672,Modificaciones!O672)</f>
        <v>0</v>
      </c>
      <c r="P686" s="128">
        <f>VLOOKUP(E686,Modificaciones!$B$7:$Q$900,16,0)</f>
        <v>0</v>
      </c>
      <c r="Q686" s="129">
        <f>COUNTA(Modificaciones!S686,Modificaciones!U686,Modificaciones!W686,Modificaciones!Y686)</f>
        <v>0</v>
      </c>
      <c r="R686" s="130" t="str">
        <f>IF(Modificaciones!Z686=0,"",VLOOKUP(E686,Modificaciones!$B$7:$AA$500,25,0))</f>
        <v/>
      </c>
      <c r="S686" s="131" t="str">
        <f>IF(Modificaciones!AA686=0,"",VLOOKUP(E686,Modificaciones!$B$7:$AA$500,26,0))</f>
        <v/>
      </c>
      <c r="T686" s="881">
        <f t="shared" si="149"/>
        <v>0</v>
      </c>
      <c r="U686" s="62">
        <f t="shared" si="150"/>
        <v>0</v>
      </c>
      <c r="V686" s="172">
        <f>VLOOKUP(E686,Modificaciones!$B$7:$AU$900,46,0)</f>
        <v>0</v>
      </c>
      <c r="W686" s="93">
        <f t="shared" si="151"/>
        <v>0</v>
      </c>
      <c r="X686" s="309"/>
      <c r="Y686" s="878" t="e">
        <f t="shared" si="152"/>
        <v>#DIV/0!</v>
      </c>
      <c r="Z686" s="42" t="e">
        <f t="shared" ca="1" si="153"/>
        <v>#DIV/0!</v>
      </c>
      <c r="AA686" s="43" t="e">
        <f t="shared" ca="1" si="154"/>
        <v>#DIV/0!</v>
      </c>
      <c r="AB686" s="202" t="e">
        <f t="shared" ca="1" si="155"/>
        <v>#DIV/0!</v>
      </c>
      <c r="AC686" s="44" t="e">
        <f t="shared" si="156"/>
        <v>#DIV/0!</v>
      </c>
      <c r="AD686" s="894"/>
      <c r="AE686" s="897"/>
      <c r="AF686" s="897"/>
      <c r="AG686" s="894"/>
      <c r="AH686" s="894"/>
      <c r="AI686" s="894"/>
      <c r="AJ686" s="305" t="s">
        <v>2845</v>
      </c>
      <c r="AK686" s="181" t="str">
        <f t="shared" ca="1" si="157"/>
        <v>TERMINO</v>
      </c>
      <c r="AL686" s="443"/>
      <c r="AM686" s="435"/>
      <c r="AN686" s="872" t="str">
        <f>IFERROR(VLOOKUP(E686,'liquidaciones '!$B$2:$C$1048576,2,0),"NO")</f>
        <v>NO</v>
      </c>
      <c r="AO686" s="972" t="str">
        <f>IFERROR(VLOOKUP(E686,'liquidaciones '!$B$2:$I$1048576,8,0),"")</f>
        <v/>
      </c>
      <c r="AP686" s="435"/>
      <c r="AQ686" s="435"/>
      <c r="AR686" s="1057"/>
      <c r="AS686" s="435"/>
      <c r="AT686" s="995"/>
    </row>
    <row r="687" spans="3:46" x14ac:dyDescent="0.25">
      <c r="C687" s="893"/>
      <c r="D687" s="893"/>
      <c r="E687" s="894"/>
      <c r="F687" s="443"/>
      <c r="G687" s="919"/>
      <c r="H687" s="1037"/>
      <c r="I687" s="93"/>
      <c r="J687" s="895"/>
      <c r="K687" s="295">
        <v>2018</v>
      </c>
      <c r="L687" s="548"/>
      <c r="M687" s="548"/>
      <c r="N687" s="548"/>
      <c r="O687" s="127">
        <f>COUNTA(Modificaciones!I673,Modificaciones!K673,Modificaciones!M673,Modificaciones!O673)</f>
        <v>0</v>
      </c>
      <c r="P687" s="128">
        <f>VLOOKUP(E687,Modificaciones!$B$7:$Q$900,16,0)</f>
        <v>0</v>
      </c>
      <c r="Q687" s="129">
        <f>COUNTA(Modificaciones!S687,Modificaciones!U687,Modificaciones!W687,Modificaciones!Y687)</f>
        <v>0</v>
      </c>
      <c r="R687" s="130" t="str">
        <f>IF(Modificaciones!Z687=0,"",VLOOKUP(E687,Modificaciones!$B$7:$AA$500,25,0))</f>
        <v/>
      </c>
      <c r="S687" s="131" t="str">
        <f>IF(Modificaciones!AA687=0,"",VLOOKUP(E687,Modificaciones!$B$7:$AA$500,26,0))</f>
        <v/>
      </c>
      <c r="T687" s="881">
        <f t="shared" si="149"/>
        <v>0</v>
      </c>
      <c r="U687" s="62">
        <f t="shared" si="150"/>
        <v>0</v>
      </c>
      <c r="V687" s="172">
        <f>VLOOKUP(E687,Modificaciones!$B$7:$AU$900,46,0)</f>
        <v>0</v>
      </c>
      <c r="W687" s="93">
        <f t="shared" si="151"/>
        <v>0</v>
      </c>
      <c r="X687" s="309"/>
      <c r="Y687" s="878" t="e">
        <f t="shared" si="152"/>
        <v>#DIV/0!</v>
      </c>
      <c r="Z687" s="42" t="e">
        <f t="shared" ca="1" si="153"/>
        <v>#DIV/0!</v>
      </c>
      <c r="AA687" s="43" t="e">
        <f t="shared" ca="1" si="154"/>
        <v>#DIV/0!</v>
      </c>
      <c r="AB687" s="202" t="e">
        <f t="shared" ca="1" si="155"/>
        <v>#DIV/0!</v>
      </c>
      <c r="AC687" s="44" t="e">
        <f t="shared" si="156"/>
        <v>#DIV/0!</v>
      </c>
      <c r="AD687" s="894"/>
      <c r="AE687" s="897"/>
      <c r="AF687" s="897"/>
      <c r="AG687" s="894"/>
      <c r="AH687" s="894"/>
      <c r="AI687" s="894"/>
      <c r="AJ687" s="305" t="s">
        <v>2845</v>
      </c>
      <c r="AK687" s="181" t="str">
        <f t="shared" ca="1" si="157"/>
        <v>TERMINO</v>
      </c>
      <c r="AL687" s="443"/>
      <c r="AM687" s="435"/>
      <c r="AN687" s="872" t="str">
        <f>IFERROR(VLOOKUP(E687,'liquidaciones '!$B$2:$C$1048576,2,0),"NO")</f>
        <v>NO</v>
      </c>
      <c r="AO687" s="972" t="str">
        <f>IFERROR(VLOOKUP(E687,'liquidaciones '!$B$2:$I$1048576,8,0),"")</f>
        <v/>
      </c>
      <c r="AP687" s="435"/>
      <c r="AQ687" s="435"/>
      <c r="AR687" s="1057"/>
      <c r="AS687" s="435"/>
      <c r="AT687" s="995"/>
    </row>
    <row r="688" spans="3:46" x14ac:dyDescent="0.25">
      <c r="C688" s="893"/>
      <c r="D688" s="893"/>
      <c r="E688" s="894"/>
      <c r="F688" s="443"/>
      <c r="G688" s="919"/>
      <c r="H688" s="1037"/>
      <c r="I688" s="93"/>
      <c r="J688" s="895"/>
      <c r="K688" s="295">
        <v>2018</v>
      </c>
      <c r="L688" s="548"/>
      <c r="M688" s="548"/>
      <c r="N688" s="548"/>
      <c r="O688" s="127">
        <f>COUNTA(Modificaciones!I674,Modificaciones!K674,Modificaciones!M674,Modificaciones!O674)</f>
        <v>0</v>
      </c>
      <c r="P688" s="128">
        <f>VLOOKUP(E688,Modificaciones!$B$7:$Q$900,16,0)</f>
        <v>0</v>
      </c>
      <c r="Q688" s="129">
        <f>COUNTA(Modificaciones!S688,Modificaciones!U688,Modificaciones!W688,Modificaciones!Y688)</f>
        <v>0</v>
      </c>
      <c r="R688" s="130" t="str">
        <f>IF(Modificaciones!Z688=0,"",VLOOKUP(E688,Modificaciones!$B$7:$AA$500,25,0))</f>
        <v/>
      </c>
      <c r="S688" s="131" t="str">
        <f>IF(Modificaciones!AA688=0,"",VLOOKUP(E688,Modificaciones!$B$7:$AA$500,26,0))</f>
        <v/>
      </c>
      <c r="T688" s="881">
        <f t="shared" si="149"/>
        <v>0</v>
      </c>
      <c r="U688" s="62">
        <f t="shared" si="150"/>
        <v>0</v>
      </c>
      <c r="V688" s="172">
        <f>VLOOKUP(E688,Modificaciones!$B$7:$AU$900,46,0)</f>
        <v>0</v>
      </c>
      <c r="W688" s="93">
        <f t="shared" si="151"/>
        <v>0</v>
      </c>
      <c r="X688" s="309"/>
      <c r="Y688" s="878" t="e">
        <f t="shared" si="152"/>
        <v>#DIV/0!</v>
      </c>
      <c r="Z688" s="42" t="e">
        <f t="shared" ca="1" si="153"/>
        <v>#DIV/0!</v>
      </c>
      <c r="AA688" s="43" t="e">
        <f t="shared" ca="1" si="154"/>
        <v>#DIV/0!</v>
      </c>
      <c r="AB688" s="202" t="e">
        <f t="shared" ca="1" si="155"/>
        <v>#DIV/0!</v>
      </c>
      <c r="AC688" s="44" t="e">
        <f t="shared" si="156"/>
        <v>#DIV/0!</v>
      </c>
      <c r="AD688" s="894"/>
      <c r="AE688" s="897"/>
      <c r="AF688" s="897"/>
      <c r="AG688" s="894"/>
      <c r="AH688" s="894"/>
      <c r="AI688" s="894"/>
      <c r="AJ688" s="305" t="s">
        <v>2845</v>
      </c>
      <c r="AK688" s="181" t="str">
        <f t="shared" ca="1" si="157"/>
        <v>TERMINO</v>
      </c>
      <c r="AL688" s="443"/>
      <c r="AM688" s="435"/>
      <c r="AN688" s="872" t="str">
        <f>IFERROR(VLOOKUP(E688,'liquidaciones '!$B$2:$C$1048576,2,0),"NO")</f>
        <v>NO</v>
      </c>
      <c r="AO688" s="972" t="str">
        <f>IFERROR(VLOOKUP(E688,'liquidaciones '!$B$2:$I$1048576,8,0),"")</f>
        <v/>
      </c>
      <c r="AP688" s="435"/>
      <c r="AQ688" s="435"/>
      <c r="AR688" s="1057"/>
      <c r="AS688" s="435"/>
      <c r="AT688" s="995"/>
    </row>
    <row r="689" spans="3:46" x14ac:dyDescent="0.25">
      <c r="C689" s="893"/>
      <c r="D689" s="893"/>
      <c r="E689" s="894"/>
      <c r="F689" s="443"/>
      <c r="G689" s="919"/>
      <c r="H689" s="1037"/>
      <c r="I689" s="93"/>
      <c r="J689" s="895"/>
      <c r="K689" s="295">
        <v>2018</v>
      </c>
      <c r="L689" s="548"/>
      <c r="M689" s="548"/>
      <c r="N689" s="548"/>
      <c r="O689" s="127">
        <f>COUNTA(Modificaciones!I675,Modificaciones!K675,Modificaciones!M675,Modificaciones!O675)</f>
        <v>0</v>
      </c>
      <c r="P689" s="128">
        <f>VLOOKUP(E689,Modificaciones!$B$7:$Q$900,16,0)</f>
        <v>0</v>
      </c>
      <c r="Q689" s="129">
        <f>COUNTA(Modificaciones!S689,Modificaciones!U689,Modificaciones!W689,Modificaciones!Y689)</f>
        <v>0</v>
      </c>
      <c r="R689" s="130" t="str">
        <f>IF(Modificaciones!Z689=0,"",VLOOKUP(E689,Modificaciones!$B$7:$AA$500,25,0))</f>
        <v/>
      </c>
      <c r="S689" s="131" t="str">
        <f>IF(Modificaciones!AA689=0,"",VLOOKUP(E689,Modificaciones!$B$7:$AA$500,26,0))</f>
        <v/>
      </c>
      <c r="T689" s="881">
        <f t="shared" si="149"/>
        <v>0</v>
      </c>
      <c r="U689" s="62">
        <f t="shared" si="150"/>
        <v>0</v>
      </c>
      <c r="V689" s="172">
        <f>VLOOKUP(E689,Modificaciones!$B$7:$AU$900,46,0)</f>
        <v>0</v>
      </c>
      <c r="W689" s="93">
        <f t="shared" si="151"/>
        <v>0</v>
      </c>
      <c r="X689" s="309"/>
      <c r="Y689" s="878" t="e">
        <f t="shared" si="152"/>
        <v>#DIV/0!</v>
      </c>
      <c r="Z689" s="42" t="e">
        <f t="shared" ca="1" si="153"/>
        <v>#DIV/0!</v>
      </c>
      <c r="AA689" s="43" t="e">
        <f t="shared" ca="1" si="154"/>
        <v>#DIV/0!</v>
      </c>
      <c r="AB689" s="202" t="e">
        <f t="shared" ca="1" si="155"/>
        <v>#DIV/0!</v>
      </c>
      <c r="AC689" s="44" t="e">
        <f t="shared" si="156"/>
        <v>#DIV/0!</v>
      </c>
      <c r="AD689" s="894"/>
      <c r="AE689" s="897"/>
      <c r="AF689" s="897"/>
      <c r="AG689" s="894"/>
      <c r="AH689" s="894"/>
      <c r="AI689" s="894"/>
      <c r="AJ689" s="305" t="s">
        <v>2845</v>
      </c>
      <c r="AK689" s="181" t="str">
        <f t="shared" ca="1" si="157"/>
        <v>TERMINO</v>
      </c>
      <c r="AL689" s="443"/>
      <c r="AM689" s="435"/>
      <c r="AN689" s="872" t="str">
        <f>IFERROR(VLOOKUP(E689,'liquidaciones '!$B$2:$C$1048576,2,0),"NO")</f>
        <v>NO</v>
      </c>
      <c r="AO689" s="972" t="str">
        <f>IFERROR(VLOOKUP(E689,'liquidaciones '!$B$2:$I$1048576,8,0),"")</f>
        <v/>
      </c>
      <c r="AP689" s="435"/>
      <c r="AQ689" s="435"/>
      <c r="AR689" s="1057"/>
      <c r="AS689" s="435"/>
      <c r="AT689" s="995"/>
    </row>
    <row r="690" spans="3:46" x14ac:dyDescent="0.25">
      <c r="C690" s="893"/>
      <c r="D690" s="893"/>
      <c r="E690" s="894"/>
      <c r="F690" s="443"/>
      <c r="G690" s="919"/>
      <c r="H690" s="1037"/>
      <c r="I690" s="93"/>
      <c r="J690" s="895"/>
      <c r="K690" s="295">
        <v>2018</v>
      </c>
      <c r="L690" s="548"/>
      <c r="M690" s="548"/>
      <c r="N690" s="548"/>
      <c r="O690" s="127">
        <f>COUNTA(Modificaciones!I676,Modificaciones!K676,Modificaciones!M676,Modificaciones!O676)</f>
        <v>0</v>
      </c>
      <c r="P690" s="128">
        <f>VLOOKUP(E690,Modificaciones!$B$7:$Q$900,16,0)</f>
        <v>0</v>
      </c>
      <c r="Q690" s="129">
        <f>COUNTA(Modificaciones!S690,Modificaciones!U690,Modificaciones!W690,Modificaciones!Y690)</f>
        <v>0</v>
      </c>
      <c r="R690" s="130" t="str">
        <f>IF(Modificaciones!Z690=0,"",VLOOKUP(E690,Modificaciones!$B$7:$AA$500,25,0))</f>
        <v/>
      </c>
      <c r="S690" s="131" t="str">
        <f>IF(Modificaciones!AA690=0,"",VLOOKUP(E690,Modificaciones!$B$7:$AA$500,26,0))</f>
        <v/>
      </c>
      <c r="T690" s="881">
        <f t="shared" si="149"/>
        <v>0</v>
      </c>
      <c r="U690" s="62">
        <f t="shared" si="150"/>
        <v>0</v>
      </c>
      <c r="V690" s="172">
        <f>VLOOKUP(E690,Modificaciones!$B$7:$AU$900,46,0)</f>
        <v>0</v>
      </c>
      <c r="W690" s="93">
        <f t="shared" si="151"/>
        <v>0</v>
      </c>
      <c r="X690" s="309"/>
      <c r="Y690" s="878" t="e">
        <f t="shared" si="152"/>
        <v>#DIV/0!</v>
      </c>
      <c r="Z690" s="42" t="e">
        <f t="shared" ca="1" si="153"/>
        <v>#DIV/0!</v>
      </c>
      <c r="AA690" s="43" t="e">
        <f t="shared" ca="1" si="154"/>
        <v>#DIV/0!</v>
      </c>
      <c r="AB690" s="202" t="e">
        <f t="shared" ca="1" si="155"/>
        <v>#DIV/0!</v>
      </c>
      <c r="AC690" s="44" t="e">
        <f t="shared" si="156"/>
        <v>#DIV/0!</v>
      </c>
      <c r="AD690" s="894"/>
      <c r="AE690" s="897"/>
      <c r="AF690" s="897"/>
      <c r="AG690" s="894"/>
      <c r="AH690" s="894"/>
      <c r="AI690" s="894"/>
      <c r="AJ690" s="305" t="s">
        <v>2845</v>
      </c>
      <c r="AK690" s="181" t="str">
        <f t="shared" ca="1" si="157"/>
        <v>TERMINO</v>
      </c>
      <c r="AL690" s="443"/>
      <c r="AM690" s="435"/>
      <c r="AN690" s="872" t="str">
        <f>IFERROR(VLOOKUP(E690,'liquidaciones '!$B$2:$C$1048576,2,0),"NO")</f>
        <v>NO</v>
      </c>
      <c r="AO690" s="972" t="str">
        <f>IFERROR(VLOOKUP(E690,'liquidaciones '!$B$2:$I$1048576,8,0),"")</f>
        <v/>
      </c>
      <c r="AP690" s="435"/>
      <c r="AQ690" s="435"/>
      <c r="AR690" s="1057"/>
      <c r="AS690" s="435"/>
      <c r="AT690" s="995"/>
    </row>
    <row r="691" spans="3:46" x14ac:dyDescent="0.25">
      <c r="C691" s="893"/>
      <c r="D691" s="893"/>
      <c r="E691" s="894"/>
      <c r="F691" s="443"/>
      <c r="G691" s="919"/>
      <c r="H691" s="1037"/>
      <c r="I691" s="93"/>
      <c r="J691" s="895"/>
      <c r="K691" s="295">
        <v>2018</v>
      </c>
      <c r="L691" s="548"/>
      <c r="M691" s="548"/>
      <c r="N691" s="548"/>
      <c r="O691" s="127">
        <f>COUNTA(Modificaciones!I677,Modificaciones!K677,Modificaciones!M677,Modificaciones!O677)</f>
        <v>0</v>
      </c>
      <c r="P691" s="128">
        <f>VLOOKUP(E691,Modificaciones!$B$7:$Q$900,16,0)</f>
        <v>0</v>
      </c>
      <c r="Q691" s="129">
        <f>COUNTA(Modificaciones!S691,Modificaciones!U691,Modificaciones!W691,Modificaciones!Y691)</f>
        <v>0</v>
      </c>
      <c r="R691" s="130" t="str">
        <f>IF(Modificaciones!Z691=0,"",VLOOKUP(E691,Modificaciones!$B$7:$AA$500,25,0))</f>
        <v/>
      </c>
      <c r="S691" s="131" t="str">
        <f>IF(Modificaciones!AA691=0,"",VLOOKUP(E691,Modificaciones!$B$7:$AA$500,26,0))</f>
        <v/>
      </c>
      <c r="T691" s="881">
        <f t="shared" si="149"/>
        <v>0</v>
      </c>
      <c r="U691" s="62">
        <f t="shared" si="150"/>
        <v>0</v>
      </c>
      <c r="V691" s="172">
        <f>VLOOKUP(E691,Modificaciones!$B$7:$AU$900,46,0)</f>
        <v>0</v>
      </c>
      <c r="W691" s="93">
        <f t="shared" si="151"/>
        <v>0</v>
      </c>
      <c r="X691" s="309"/>
      <c r="Y691" s="878" t="e">
        <f t="shared" si="152"/>
        <v>#DIV/0!</v>
      </c>
      <c r="Z691" s="42" t="e">
        <f t="shared" ca="1" si="153"/>
        <v>#DIV/0!</v>
      </c>
      <c r="AA691" s="43" t="e">
        <f t="shared" ca="1" si="154"/>
        <v>#DIV/0!</v>
      </c>
      <c r="AB691" s="202" t="e">
        <f t="shared" ca="1" si="155"/>
        <v>#DIV/0!</v>
      </c>
      <c r="AC691" s="44" t="e">
        <f t="shared" si="156"/>
        <v>#DIV/0!</v>
      </c>
      <c r="AD691" s="894"/>
      <c r="AE691" s="897"/>
      <c r="AF691" s="897"/>
      <c r="AG691" s="894"/>
      <c r="AH691" s="894"/>
      <c r="AI691" s="894"/>
      <c r="AJ691" s="305" t="s">
        <v>2845</v>
      </c>
      <c r="AK691" s="181" t="str">
        <f t="shared" ca="1" si="157"/>
        <v>TERMINO</v>
      </c>
      <c r="AL691" s="443"/>
      <c r="AM691" s="435"/>
      <c r="AN691" s="872" t="str">
        <f>IFERROR(VLOOKUP(E691,'liquidaciones '!$B$2:$C$1048576,2,0),"NO")</f>
        <v>NO</v>
      </c>
      <c r="AO691" s="972" t="str">
        <f>IFERROR(VLOOKUP(E691,'liquidaciones '!$B$2:$I$1048576,8,0),"")</f>
        <v/>
      </c>
      <c r="AP691" s="435"/>
      <c r="AQ691" s="435"/>
      <c r="AR691" s="1057"/>
      <c r="AS691" s="435"/>
      <c r="AT691" s="995"/>
    </row>
    <row r="692" spans="3:46" x14ac:dyDescent="0.25">
      <c r="C692" s="893"/>
      <c r="D692" s="893"/>
      <c r="E692" s="894"/>
      <c r="F692" s="443"/>
      <c r="G692" s="919"/>
      <c r="H692" s="1037"/>
      <c r="I692" s="93"/>
      <c r="J692" s="895"/>
      <c r="K692" s="295">
        <v>2018</v>
      </c>
      <c r="L692" s="548"/>
      <c r="M692" s="548"/>
      <c r="N692" s="548"/>
      <c r="O692" s="127">
        <f>COUNTA(Modificaciones!I678,Modificaciones!K678,Modificaciones!M678,Modificaciones!O678)</f>
        <v>0</v>
      </c>
      <c r="P692" s="128">
        <f>VLOOKUP(E692,Modificaciones!$B$7:$Q$900,16,0)</f>
        <v>0</v>
      </c>
      <c r="Q692" s="129">
        <f>COUNTA(Modificaciones!S692,Modificaciones!U692,Modificaciones!W692,Modificaciones!Y692)</f>
        <v>0</v>
      </c>
      <c r="R692" s="130" t="str">
        <f>IF(Modificaciones!Z692=0,"",VLOOKUP(E692,Modificaciones!$B$7:$AA$500,25,0))</f>
        <v/>
      </c>
      <c r="S692" s="131" t="str">
        <f>IF(Modificaciones!AA692=0,"",VLOOKUP(E692,Modificaciones!$B$7:$AA$500,26,0))</f>
        <v/>
      </c>
      <c r="T692" s="881">
        <f t="shared" ref="T692:T715" si="158">MAX(N692,S692)</f>
        <v>0</v>
      </c>
      <c r="U692" s="62">
        <f t="shared" ref="U692:U715" si="159">I692+P692</f>
        <v>0</v>
      </c>
      <c r="V692" s="172">
        <f>VLOOKUP(E692,Modificaciones!$B$7:$AU$900,46,0)</f>
        <v>0</v>
      </c>
      <c r="W692" s="93">
        <f t="shared" ref="W692:W715" si="160">U692-V692</f>
        <v>0</v>
      </c>
      <c r="X692" s="309"/>
      <c r="Y692" s="878" t="e">
        <f t="shared" ref="Y692:Y715" si="161">(V692*100%)/U692</f>
        <v>#DIV/0!</v>
      </c>
      <c r="Z692" s="42" t="e">
        <f t="shared" ref="Z692:Z715" ca="1" si="162">IF((($F$3-M692)*100%/(T692-M692))&gt;100%,100%,(($F$3-M692)*100%/(T692-M692)))</f>
        <v>#DIV/0!</v>
      </c>
      <c r="AA692" s="43" t="e">
        <f t="shared" ref="AA692:AA715" ca="1" si="163">Z692-Y692</f>
        <v>#DIV/0!</v>
      </c>
      <c r="AB692" s="202" t="e">
        <f t="shared" ref="AB692:AB715" ca="1" si="164">IF(Z692&lt;100%,T692-$F$3,"")</f>
        <v>#DIV/0!</v>
      </c>
      <c r="AC692" s="44" t="e">
        <f t="shared" ref="AC692:AC715" si="165">IF(Y692&lt;=99.9%,"NO","SI")</f>
        <v>#DIV/0!</v>
      </c>
      <c r="AD692" s="894"/>
      <c r="AE692" s="897"/>
      <c r="AF692" s="897"/>
      <c r="AG692" s="894"/>
      <c r="AH692" s="894"/>
      <c r="AI692" s="894"/>
      <c r="AJ692" s="305" t="s">
        <v>2845</v>
      </c>
      <c r="AK692" s="181" t="str">
        <f t="shared" ref="AK692:AK715" ca="1" si="166">IF(T692&gt;=$F$3,"EN EJECUCIÓN","TERMINO")</f>
        <v>TERMINO</v>
      </c>
      <c r="AL692" s="443"/>
      <c r="AM692" s="435"/>
      <c r="AN692" s="872" t="str">
        <f>IFERROR(VLOOKUP(E692,'liquidaciones '!$B$2:$C$1048576,2,0),"NO")</f>
        <v>NO</v>
      </c>
      <c r="AO692" s="972" t="str">
        <f>IFERROR(VLOOKUP(E692,'liquidaciones '!$B$2:$I$1048576,8,0),"")</f>
        <v/>
      </c>
      <c r="AP692" s="435"/>
      <c r="AQ692" s="435"/>
      <c r="AR692" s="1060"/>
      <c r="AS692" s="435"/>
      <c r="AT692" s="995"/>
    </row>
    <row r="693" spans="3:46" x14ac:dyDescent="0.25">
      <c r="C693" s="893"/>
      <c r="D693" s="893"/>
      <c r="E693" s="894"/>
      <c r="F693" s="443"/>
      <c r="G693" s="919"/>
      <c r="H693" s="1037"/>
      <c r="I693" s="93"/>
      <c r="J693" s="895"/>
      <c r="K693" s="295">
        <v>2018</v>
      </c>
      <c r="L693" s="548"/>
      <c r="M693" s="548"/>
      <c r="N693" s="548"/>
      <c r="O693" s="127">
        <f>COUNTA(Modificaciones!I679,Modificaciones!K679,Modificaciones!M679,Modificaciones!O679)</f>
        <v>0</v>
      </c>
      <c r="P693" s="128">
        <f>VLOOKUP(E693,Modificaciones!$B$7:$Q$900,16,0)</f>
        <v>0</v>
      </c>
      <c r="Q693" s="129">
        <f>COUNTA(Modificaciones!S693,Modificaciones!U693,Modificaciones!W693,Modificaciones!Y693)</f>
        <v>0</v>
      </c>
      <c r="R693" s="130" t="str">
        <f>IF(Modificaciones!Z693=0,"",VLOOKUP(E693,Modificaciones!$B$7:$AA$500,25,0))</f>
        <v/>
      </c>
      <c r="S693" s="131" t="str">
        <f>IF(Modificaciones!AA693=0,"",VLOOKUP(E693,Modificaciones!$B$7:$AA$500,26,0))</f>
        <v/>
      </c>
      <c r="T693" s="881">
        <f t="shared" si="158"/>
        <v>0</v>
      </c>
      <c r="U693" s="62">
        <f t="shared" si="159"/>
        <v>0</v>
      </c>
      <c r="V693" s="172">
        <f>VLOOKUP(E693,Modificaciones!$B$7:$AU$900,46,0)</f>
        <v>0</v>
      </c>
      <c r="W693" s="93">
        <f t="shared" si="160"/>
        <v>0</v>
      </c>
      <c r="X693" s="309"/>
      <c r="Y693" s="878" t="e">
        <f t="shared" si="161"/>
        <v>#DIV/0!</v>
      </c>
      <c r="Z693" s="42" t="e">
        <f t="shared" ca="1" si="162"/>
        <v>#DIV/0!</v>
      </c>
      <c r="AA693" s="43" t="e">
        <f t="shared" ca="1" si="163"/>
        <v>#DIV/0!</v>
      </c>
      <c r="AB693" s="202" t="e">
        <f t="shared" ca="1" si="164"/>
        <v>#DIV/0!</v>
      </c>
      <c r="AC693" s="44" t="e">
        <f t="shared" si="165"/>
        <v>#DIV/0!</v>
      </c>
      <c r="AD693" s="894"/>
      <c r="AE693" s="897"/>
      <c r="AF693" s="897"/>
      <c r="AG693" s="894"/>
      <c r="AH693" s="894"/>
      <c r="AI693" s="894"/>
      <c r="AJ693" s="305" t="s">
        <v>2845</v>
      </c>
      <c r="AK693" s="181" t="str">
        <f t="shared" ca="1" si="166"/>
        <v>TERMINO</v>
      </c>
      <c r="AL693" s="443"/>
      <c r="AM693" s="435"/>
      <c r="AN693" s="872" t="str">
        <f>IFERROR(VLOOKUP(E693,'liquidaciones '!$B$2:$C$1048576,2,0),"NO")</f>
        <v>NO</v>
      </c>
      <c r="AO693" s="972" t="str">
        <f>IFERROR(VLOOKUP(E693,'liquidaciones '!$B$2:$I$1048576,8,0),"")</f>
        <v/>
      </c>
      <c r="AP693" s="435"/>
      <c r="AQ693" s="435"/>
      <c r="AR693" s="1060"/>
      <c r="AS693" s="435"/>
      <c r="AT693" s="995"/>
    </row>
    <row r="694" spans="3:46" x14ac:dyDescent="0.25">
      <c r="C694" s="893"/>
      <c r="D694" s="893"/>
      <c r="E694" s="894"/>
      <c r="F694" s="443"/>
      <c r="G694" s="919"/>
      <c r="H694" s="1037"/>
      <c r="I694" s="93"/>
      <c r="J694" s="895"/>
      <c r="K694" s="295">
        <v>2018</v>
      </c>
      <c r="L694" s="548"/>
      <c r="M694" s="548"/>
      <c r="N694" s="548"/>
      <c r="O694" s="127">
        <f>COUNTA(Modificaciones!I680,Modificaciones!K680,Modificaciones!M680,Modificaciones!O680)</f>
        <v>0</v>
      </c>
      <c r="P694" s="128">
        <f>VLOOKUP(E694,Modificaciones!$B$7:$Q$900,16,0)</f>
        <v>0</v>
      </c>
      <c r="Q694" s="129">
        <f>COUNTA(Modificaciones!S694,Modificaciones!U694,Modificaciones!W694,Modificaciones!Y694)</f>
        <v>0</v>
      </c>
      <c r="R694" s="130" t="str">
        <f>IF(Modificaciones!Z694=0,"",VLOOKUP(E694,Modificaciones!$B$7:$AA$500,25,0))</f>
        <v/>
      </c>
      <c r="S694" s="131" t="str">
        <f>IF(Modificaciones!AA694=0,"",VLOOKUP(E694,Modificaciones!$B$7:$AA$500,26,0))</f>
        <v/>
      </c>
      <c r="T694" s="881">
        <f t="shared" si="158"/>
        <v>0</v>
      </c>
      <c r="U694" s="62">
        <f t="shared" si="159"/>
        <v>0</v>
      </c>
      <c r="V694" s="172">
        <f>VLOOKUP(E694,Modificaciones!$B$7:$AU$900,46,0)</f>
        <v>0</v>
      </c>
      <c r="W694" s="93">
        <f t="shared" si="160"/>
        <v>0</v>
      </c>
      <c r="X694" s="309"/>
      <c r="Y694" s="878" t="e">
        <f t="shared" si="161"/>
        <v>#DIV/0!</v>
      </c>
      <c r="Z694" s="42" t="e">
        <f t="shared" ca="1" si="162"/>
        <v>#DIV/0!</v>
      </c>
      <c r="AA694" s="43" t="e">
        <f t="shared" ca="1" si="163"/>
        <v>#DIV/0!</v>
      </c>
      <c r="AB694" s="202" t="e">
        <f t="shared" ca="1" si="164"/>
        <v>#DIV/0!</v>
      </c>
      <c r="AC694" s="44" t="e">
        <f t="shared" si="165"/>
        <v>#DIV/0!</v>
      </c>
      <c r="AD694" s="894"/>
      <c r="AE694" s="897"/>
      <c r="AF694" s="897"/>
      <c r="AG694" s="894"/>
      <c r="AH694" s="894"/>
      <c r="AI694" s="894"/>
      <c r="AJ694" s="305" t="s">
        <v>2845</v>
      </c>
      <c r="AK694" s="181" t="str">
        <f t="shared" ca="1" si="166"/>
        <v>TERMINO</v>
      </c>
      <c r="AL694" s="443"/>
      <c r="AM694" s="435"/>
      <c r="AN694" s="872" t="str">
        <f>IFERROR(VLOOKUP(E694,'liquidaciones '!$B$2:$C$1048576,2,0),"NO")</f>
        <v>NO</v>
      </c>
      <c r="AO694" s="972" t="str">
        <f>IFERROR(VLOOKUP(E694,'liquidaciones '!$B$2:$I$1048576,8,0),"")</f>
        <v/>
      </c>
      <c r="AP694" s="435"/>
      <c r="AQ694" s="435"/>
      <c r="AR694" s="1060"/>
      <c r="AS694" s="435"/>
      <c r="AT694" s="995"/>
    </row>
    <row r="695" spans="3:46" x14ac:dyDescent="0.25">
      <c r="C695" s="893"/>
      <c r="D695" s="893"/>
      <c r="E695" s="894"/>
      <c r="F695" s="443"/>
      <c r="G695" s="919"/>
      <c r="H695" s="1037"/>
      <c r="I695" s="93"/>
      <c r="J695" s="895"/>
      <c r="K695" s="295">
        <v>2018</v>
      </c>
      <c r="L695" s="548"/>
      <c r="M695" s="548"/>
      <c r="N695" s="548"/>
      <c r="O695" s="127">
        <f>COUNTA(Modificaciones!I681,Modificaciones!K681,Modificaciones!M681,Modificaciones!O681)</f>
        <v>0</v>
      </c>
      <c r="P695" s="128">
        <f>VLOOKUP(E695,Modificaciones!$B$7:$Q$900,16,0)</f>
        <v>0</v>
      </c>
      <c r="Q695" s="129">
        <f>COUNTA(Modificaciones!S695,Modificaciones!U695,Modificaciones!W695,Modificaciones!Y695)</f>
        <v>0</v>
      </c>
      <c r="R695" s="130" t="str">
        <f>IF(Modificaciones!Z695=0,"",VLOOKUP(E695,Modificaciones!$B$7:$AA$500,25,0))</f>
        <v/>
      </c>
      <c r="S695" s="131" t="str">
        <f>IF(Modificaciones!AA695=0,"",VLOOKUP(E695,Modificaciones!$B$7:$AA$500,26,0))</f>
        <v/>
      </c>
      <c r="T695" s="881">
        <f t="shared" si="158"/>
        <v>0</v>
      </c>
      <c r="U695" s="62">
        <f t="shared" si="159"/>
        <v>0</v>
      </c>
      <c r="V695" s="172">
        <f>VLOOKUP(E695,Modificaciones!$B$7:$AU$900,46,0)</f>
        <v>0</v>
      </c>
      <c r="W695" s="93">
        <f t="shared" si="160"/>
        <v>0</v>
      </c>
      <c r="X695" s="309"/>
      <c r="Y695" s="878" t="e">
        <f t="shared" si="161"/>
        <v>#DIV/0!</v>
      </c>
      <c r="Z695" s="42" t="e">
        <f t="shared" ca="1" si="162"/>
        <v>#DIV/0!</v>
      </c>
      <c r="AA695" s="43" t="e">
        <f t="shared" ca="1" si="163"/>
        <v>#DIV/0!</v>
      </c>
      <c r="AB695" s="202" t="e">
        <f t="shared" ca="1" si="164"/>
        <v>#DIV/0!</v>
      </c>
      <c r="AC695" s="44" t="e">
        <f t="shared" si="165"/>
        <v>#DIV/0!</v>
      </c>
      <c r="AD695" s="894"/>
      <c r="AE695" s="897"/>
      <c r="AF695" s="897"/>
      <c r="AG695" s="894"/>
      <c r="AH695" s="894"/>
      <c r="AI695" s="894"/>
      <c r="AJ695" s="305" t="s">
        <v>2845</v>
      </c>
      <c r="AK695" s="181" t="str">
        <f t="shared" ca="1" si="166"/>
        <v>TERMINO</v>
      </c>
      <c r="AL695" s="443"/>
      <c r="AM695" s="435"/>
      <c r="AN695" s="872" t="str">
        <f>IFERROR(VLOOKUP(E695,'liquidaciones '!$B$2:$C$1048576,2,0),"NO")</f>
        <v>NO</v>
      </c>
      <c r="AO695" s="972" t="str">
        <f>IFERROR(VLOOKUP(E695,'liquidaciones '!$B$2:$I$1048576,8,0),"")</f>
        <v/>
      </c>
      <c r="AP695" s="435"/>
      <c r="AQ695" s="435"/>
      <c r="AR695" s="1060"/>
      <c r="AS695" s="435"/>
      <c r="AT695" s="995"/>
    </row>
    <row r="696" spans="3:46" x14ac:dyDescent="0.25">
      <c r="C696" s="893"/>
      <c r="D696" s="893"/>
      <c r="E696" s="894"/>
      <c r="F696" s="443"/>
      <c r="G696" s="919"/>
      <c r="H696" s="1037"/>
      <c r="I696" s="93"/>
      <c r="J696" s="895"/>
      <c r="K696" s="295">
        <v>2018</v>
      </c>
      <c r="L696" s="548"/>
      <c r="M696" s="548"/>
      <c r="N696" s="548"/>
      <c r="O696" s="127">
        <f>COUNTA(Modificaciones!I682,Modificaciones!K682,Modificaciones!M682,Modificaciones!O682)</f>
        <v>0</v>
      </c>
      <c r="P696" s="128">
        <f>VLOOKUP(E696,Modificaciones!$B$7:$Q$900,16,0)</f>
        <v>0</v>
      </c>
      <c r="Q696" s="129">
        <f>COUNTA(Modificaciones!S696,Modificaciones!U696,Modificaciones!W696,Modificaciones!Y696)</f>
        <v>0</v>
      </c>
      <c r="R696" s="130" t="str">
        <f>IF(Modificaciones!Z696=0,"",VLOOKUP(E696,Modificaciones!$B$7:$AA$500,25,0))</f>
        <v/>
      </c>
      <c r="S696" s="131" t="str">
        <f>IF(Modificaciones!AA696=0,"",VLOOKUP(E696,Modificaciones!$B$7:$AA$500,26,0))</f>
        <v/>
      </c>
      <c r="T696" s="881">
        <f t="shared" si="158"/>
        <v>0</v>
      </c>
      <c r="U696" s="62">
        <f t="shared" si="159"/>
        <v>0</v>
      </c>
      <c r="V696" s="172">
        <f>VLOOKUP(E696,Modificaciones!$B$7:$AU$900,46,0)</f>
        <v>0</v>
      </c>
      <c r="W696" s="93">
        <f t="shared" si="160"/>
        <v>0</v>
      </c>
      <c r="X696" s="309"/>
      <c r="Y696" s="878" t="e">
        <f t="shared" si="161"/>
        <v>#DIV/0!</v>
      </c>
      <c r="Z696" s="42" t="e">
        <f t="shared" ca="1" si="162"/>
        <v>#DIV/0!</v>
      </c>
      <c r="AA696" s="43" t="e">
        <f t="shared" ca="1" si="163"/>
        <v>#DIV/0!</v>
      </c>
      <c r="AB696" s="202" t="e">
        <f t="shared" ca="1" si="164"/>
        <v>#DIV/0!</v>
      </c>
      <c r="AC696" s="44" t="e">
        <f t="shared" si="165"/>
        <v>#DIV/0!</v>
      </c>
      <c r="AD696" s="894"/>
      <c r="AE696" s="897"/>
      <c r="AF696" s="897"/>
      <c r="AG696" s="894"/>
      <c r="AH696" s="894"/>
      <c r="AI696" s="894"/>
      <c r="AJ696" s="305" t="s">
        <v>2845</v>
      </c>
      <c r="AK696" s="181" t="str">
        <f t="shared" ca="1" si="166"/>
        <v>TERMINO</v>
      </c>
      <c r="AL696" s="443"/>
      <c r="AM696" s="435"/>
      <c r="AN696" s="872" t="str">
        <f>IFERROR(VLOOKUP(E696,'liquidaciones '!$B$2:$C$1048576,2,0),"NO")</f>
        <v>NO</v>
      </c>
      <c r="AO696" s="972" t="str">
        <f>IFERROR(VLOOKUP(E696,'liquidaciones '!$B$2:$I$1048576,8,0),"")</f>
        <v/>
      </c>
      <c r="AP696" s="435"/>
      <c r="AQ696" s="435"/>
      <c r="AR696" s="1060"/>
      <c r="AS696" s="435"/>
      <c r="AT696" s="995"/>
    </row>
    <row r="697" spans="3:46" x14ac:dyDescent="0.25">
      <c r="C697" s="893"/>
      <c r="D697" s="893"/>
      <c r="E697" s="894"/>
      <c r="F697" s="443"/>
      <c r="G697" s="919"/>
      <c r="H697" s="1037"/>
      <c r="I697" s="93"/>
      <c r="J697" s="895"/>
      <c r="K697" s="295">
        <v>2018</v>
      </c>
      <c r="L697" s="548"/>
      <c r="M697" s="548"/>
      <c r="N697" s="548"/>
      <c r="O697" s="127">
        <f>COUNTA(Modificaciones!I683,Modificaciones!K683,Modificaciones!M683,Modificaciones!O683)</f>
        <v>0</v>
      </c>
      <c r="P697" s="128">
        <f>VLOOKUP(E697,Modificaciones!$B$7:$Q$900,16,0)</f>
        <v>0</v>
      </c>
      <c r="Q697" s="129">
        <f>COUNTA(Modificaciones!S697,Modificaciones!U697,Modificaciones!W697,Modificaciones!Y697)</f>
        <v>0</v>
      </c>
      <c r="R697" s="130" t="str">
        <f>IF(Modificaciones!Z697=0,"",VLOOKUP(E697,Modificaciones!$B$7:$AA$500,25,0))</f>
        <v/>
      </c>
      <c r="S697" s="131" t="str">
        <f>IF(Modificaciones!AA697=0,"",VLOOKUP(E697,Modificaciones!$B$7:$AA$500,26,0))</f>
        <v/>
      </c>
      <c r="T697" s="881">
        <f t="shared" si="158"/>
        <v>0</v>
      </c>
      <c r="U697" s="62">
        <f t="shared" si="159"/>
        <v>0</v>
      </c>
      <c r="V697" s="172">
        <f>VLOOKUP(E697,Modificaciones!$B$7:$AU$900,46,0)</f>
        <v>0</v>
      </c>
      <c r="W697" s="93">
        <f t="shared" si="160"/>
        <v>0</v>
      </c>
      <c r="X697" s="309"/>
      <c r="Y697" s="878" t="e">
        <f t="shared" si="161"/>
        <v>#DIV/0!</v>
      </c>
      <c r="Z697" s="42" t="e">
        <f t="shared" ca="1" si="162"/>
        <v>#DIV/0!</v>
      </c>
      <c r="AA697" s="43" t="e">
        <f t="shared" ca="1" si="163"/>
        <v>#DIV/0!</v>
      </c>
      <c r="AB697" s="202" t="e">
        <f t="shared" ca="1" si="164"/>
        <v>#DIV/0!</v>
      </c>
      <c r="AC697" s="44" t="e">
        <f t="shared" si="165"/>
        <v>#DIV/0!</v>
      </c>
      <c r="AD697" s="894"/>
      <c r="AE697" s="897"/>
      <c r="AF697" s="897"/>
      <c r="AG697" s="894"/>
      <c r="AH697" s="894"/>
      <c r="AI697" s="894"/>
      <c r="AJ697" s="305" t="s">
        <v>2845</v>
      </c>
      <c r="AK697" s="181" t="str">
        <f t="shared" ca="1" si="166"/>
        <v>TERMINO</v>
      </c>
      <c r="AL697" s="443"/>
      <c r="AM697" s="435"/>
      <c r="AN697" s="872" t="str">
        <f>IFERROR(VLOOKUP(E697,'liquidaciones '!$B$2:$C$1048576,2,0),"NO")</f>
        <v>NO</v>
      </c>
      <c r="AO697" s="972" t="str">
        <f>IFERROR(VLOOKUP(E697,'liquidaciones '!$B$2:$I$1048576,8,0),"")</f>
        <v/>
      </c>
      <c r="AP697" s="435"/>
      <c r="AQ697" s="435"/>
      <c r="AR697" s="1060"/>
      <c r="AS697" s="435"/>
      <c r="AT697" s="995"/>
    </row>
    <row r="698" spans="3:46" x14ac:dyDescent="0.25">
      <c r="C698" s="893"/>
      <c r="D698" s="893"/>
      <c r="E698" s="894"/>
      <c r="F698" s="443"/>
      <c r="G698" s="919"/>
      <c r="H698" s="1037"/>
      <c r="I698" s="93"/>
      <c r="J698" s="895"/>
      <c r="K698" s="295">
        <v>2018</v>
      </c>
      <c r="L698" s="548"/>
      <c r="M698" s="548"/>
      <c r="N698" s="548"/>
      <c r="O698" s="127">
        <f>COUNTA(Modificaciones!I684,Modificaciones!K684,Modificaciones!M684,Modificaciones!O684)</f>
        <v>0</v>
      </c>
      <c r="P698" s="128">
        <f>VLOOKUP(E698,Modificaciones!$B$7:$Q$900,16,0)</f>
        <v>0</v>
      </c>
      <c r="Q698" s="129">
        <f>COUNTA(Modificaciones!S698,Modificaciones!U698,Modificaciones!W698,Modificaciones!Y698)</f>
        <v>0</v>
      </c>
      <c r="R698" s="130" t="str">
        <f>IF(Modificaciones!Z698=0,"",VLOOKUP(E698,Modificaciones!$B$7:$AA$500,25,0))</f>
        <v/>
      </c>
      <c r="S698" s="131" t="str">
        <f>IF(Modificaciones!AA698=0,"",VLOOKUP(E698,Modificaciones!$B$7:$AA$500,26,0))</f>
        <v/>
      </c>
      <c r="T698" s="881">
        <f t="shared" si="158"/>
        <v>0</v>
      </c>
      <c r="U698" s="62">
        <f t="shared" si="159"/>
        <v>0</v>
      </c>
      <c r="V698" s="172">
        <f>VLOOKUP(E698,Modificaciones!$B$7:$AU$900,46,0)</f>
        <v>0</v>
      </c>
      <c r="W698" s="93">
        <f t="shared" si="160"/>
        <v>0</v>
      </c>
      <c r="X698" s="309"/>
      <c r="Y698" s="878" t="e">
        <f t="shared" si="161"/>
        <v>#DIV/0!</v>
      </c>
      <c r="Z698" s="42" t="e">
        <f t="shared" ca="1" si="162"/>
        <v>#DIV/0!</v>
      </c>
      <c r="AA698" s="43" t="e">
        <f t="shared" ca="1" si="163"/>
        <v>#DIV/0!</v>
      </c>
      <c r="AB698" s="202" t="e">
        <f t="shared" ca="1" si="164"/>
        <v>#DIV/0!</v>
      </c>
      <c r="AC698" s="44" t="e">
        <f t="shared" si="165"/>
        <v>#DIV/0!</v>
      </c>
      <c r="AD698" s="894"/>
      <c r="AE698" s="897"/>
      <c r="AF698" s="897"/>
      <c r="AG698" s="894"/>
      <c r="AH698" s="894"/>
      <c r="AI698" s="894"/>
      <c r="AJ698" s="305" t="s">
        <v>2845</v>
      </c>
      <c r="AK698" s="181" t="str">
        <f t="shared" ca="1" si="166"/>
        <v>TERMINO</v>
      </c>
      <c r="AL698" s="443"/>
      <c r="AM698" s="435"/>
      <c r="AN698" s="872" t="str">
        <f>IFERROR(VLOOKUP(E698,'liquidaciones '!$B$2:$C$1048576,2,0),"NO")</f>
        <v>NO</v>
      </c>
      <c r="AO698" s="972" t="str">
        <f>IFERROR(VLOOKUP(E698,'liquidaciones '!$B$2:$I$1048576,8,0),"")</f>
        <v/>
      </c>
      <c r="AP698" s="435"/>
      <c r="AQ698" s="435"/>
      <c r="AR698" s="1060"/>
      <c r="AS698" s="435"/>
      <c r="AT698" s="995"/>
    </row>
    <row r="699" spans="3:46" x14ac:dyDescent="0.25">
      <c r="C699" s="893"/>
      <c r="D699" s="893"/>
      <c r="E699" s="894"/>
      <c r="F699" s="443"/>
      <c r="G699" s="919"/>
      <c r="H699" s="1037"/>
      <c r="I699" s="93"/>
      <c r="J699" s="895"/>
      <c r="K699" s="295">
        <v>2018</v>
      </c>
      <c r="L699" s="548"/>
      <c r="M699" s="548"/>
      <c r="N699" s="548"/>
      <c r="O699" s="127">
        <f>COUNTA(Modificaciones!I685,Modificaciones!K685,Modificaciones!M685,Modificaciones!O685)</f>
        <v>0</v>
      </c>
      <c r="P699" s="128">
        <f>VLOOKUP(E699,Modificaciones!$B$7:$Q$900,16,0)</f>
        <v>0</v>
      </c>
      <c r="Q699" s="129">
        <f>COUNTA(Modificaciones!S699,Modificaciones!U699,Modificaciones!W699,Modificaciones!Y699)</f>
        <v>0</v>
      </c>
      <c r="R699" s="130" t="str">
        <f>IF(Modificaciones!Z699=0,"",VLOOKUP(E699,Modificaciones!$B$7:$AA$500,25,0))</f>
        <v/>
      </c>
      <c r="S699" s="131" t="str">
        <f>IF(Modificaciones!AA699=0,"",VLOOKUP(E699,Modificaciones!$B$7:$AA$500,26,0))</f>
        <v/>
      </c>
      <c r="T699" s="881">
        <f t="shared" si="158"/>
        <v>0</v>
      </c>
      <c r="U699" s="62">
        <f t="shared" si="159"/>
        <v>0</v>
      </c>
      <c r="V699" s="172">
        <f>VLOOKUP(E699,Modificaciones!$B$7:$AU$900,46,0)</f>
        <v>0</v>
      </c>
      <c r="W699" s="93">
        <f t="shared" si="160"/>
        <v>0</v>
      </c>
      <c r="X699" s="309"/>
      <c r="Y699" s="878" t="e">
        <f t="shared" si="161"/>
        <v>#DIV/0!</v>
      </c>
      <c r="Z699" s="42" t="e">
        <f t="shared" ca="1" si="162"/>
        <v>#DIV/0!</v>
      </c>
      <c r="AA699" s="43" t="e">
        <f t="shared" ca="1" si="163"/>
        <v>#DIV/0!</v>
      </c>
      <c r="AB699" s="202" t="e">
        <f t="shared" ca="1" si="164"/>
        <v>#DIV/0!</v>
      </c>
      <c r="AC699" s="44" t="e">
        <f t="shared" si="165"/>
        <v>#DIV/0!</v>
      </c>
      <c r="AD699" s="894"/>
      <c r="AE699" s="897"/>
      <c r="AF699" s="897"/>
      <c r="AG699" s="894"/>
      <c r="AH699" s="894"/>
      <c r="AI699" s="894"/>
      <c r="AJ699" s="305" t="s">
        <v>2845</v>
      </c>
      <c r="AK699" s="181" t="str">
        <f t="shared" ca="1" si="166"/>
        <v>TERMINO</v>
      </c>
      <c r="AL699" s="443"/>
      <c r="AM699" s="435"/>
      <c r="AN699" s="872" t="str">
        <f>IFERROR(VLOOKUP(E699,'liquidaciones '!$B$2:$C$1048576,2,0),"NO")</f>
        <v>NO</v>
      </c>
      <c r="AO699" s="972" t="str">
        <f>IFERROR(VLOOKUP(E699,'liquidaciones '!$B$2:$I$1048576,8,0),"")</f>
        <v/>
      </c>
      <c r="AP699" s="435"/>
      <c r="AQ699" s="435"/>
      <c r="AR699" s="1060"/>
      <c r="AS699" s="435"/>
      <c r="AT699" s="995"/>
    </row>
    <row r="700" spans="3:46" x14ac:dyDescent="0.25">
      <c r="C700" s="893"/>
      <c r="D700" s="893"/>
      <c r="E700" s="894"/>
      <c r="F700" s="443"/>
      <c r="G700" s="919"/>
      <c r="H700" s="1037"/>
      <c r="I700" s="93"/>
      <c r="J700" s="895"/>
      <c r="K700" s="295">
        <v>2018</v>
      </c>
      <c r="L700" s="548"/>
      <c r="M700" s="548"/>
      <c r="N700" s="548"/>
      <c r="O700" s="127">
        <f>COUNTA(Modificaciones!I686,Modificaciones!K686,Modificaciones!M686,Modificaciones!O686)</f>
        <v>0</v>
      </c>
      <c r="P700" s="128">
        <f>VLOOKUP(E700,Modificaciones!$B$7:$Q$900,16,0)</f>
        <v>0</v>
      </c>
      <c r="Q700" s="129">
        <f>COUNTA(Modificaciones!S700,Modificaciones!U700,Modificaciones!W700,Modificaciones!Y700)</f>
        <v>0</v>
      </c>
      <c r="R700" s="130" t="str">
        <f>IF(Modificaciones!Z700=0,"",VLOOKUP(E700,Modificaciones!$B$7:$AA$500,25,0))</f>
        <v/>
      </c>
      <c r="S700" s="131" t="str">
        <f>IF(Modificaciones!AA700=0,"",VLOOKUP(E700,Modificaciones!$B$7:$AA$500,26,0))</f>
        <v/>
      </c>
      <c r="T700" s="881">
        <f t="shared" si="158"/>
        <v>0</v>
      </c>
      <c r="U700" s="62">
        <f t="shared" si="159"/>
        <v>0</v>
      </c>
      <c r="V700" s="172">
        <f>VLOOKUP(E700,Modificaciones!$B$7:$AU$900,46,0)</f>
        <v>0</v>
      </c>
      <c r="W700" s="93">
        <f t="shared" si="160"/>
        <v>0</v>
      </c>
      <c r="X700" s="309"/>
      <c r="Y700" s="878" t="e">
        <f t="shared" si="161"/>
        <v>#DIV/0!</v>
      </c>
      <c r="Z700" s="42" t="e">
        <f t="shared" ca="1" si="162"/>
        <v>#DIV/0!</v>
      </c>
      <c r="AA700" s="43" t="e">
        <f t="shared" ca="1" si="163"/>
        <v>#DIV/0!</v>
      </c>
      <c r="AB700" s="202" t="e">
        <f t="shared" ca="1" si="164"/>
        <v>#DIV/0!</v>
      </c>
      <c r="AC700" s="44" t="e">
        <f t="shared" si="165"/>
        <v>#DIV/0!</v>
      </c>
      <c r="AD700" s="894"/>
      <c r="AE700" s="897"/>
      <c r="AF700" s="897"/>
      <c r="AG700" s="894"/>
      <c r="AH700" s="894"/>
      <c r="AI700" s="894"/>
      <c r="AJ700" s="305" t="s">
        <v>2845</v>
      </c>
      <c r="AK700" s="181" t="str">
        <f t="shared" ca="1" si="166"/>
        <v>TERMINO</v>
      </c>
      <c r="AL700" s="443"/>
      <c r="AM700" s="435"/>
      <c r="AN700" s="872" t="str">
        <f>IFERROR(VLOOKUP(E700,'liquidaciones '!$B$2:$C$1048576,2,0),"NO")</f>
        <v>NO</v>
      </c>
      <c r="AO700" s="972" t="str">
        <f>IFERROR(VLOOKUP(E700,'liquidaciones '!$B$2:$I$1048576,8,0),"")</f>
        <v/>
      </c>
      <c r="AP700" s="435"/>
      <c r="AQ700" s="435"/>
      <c r="AR700" s="1060"/>
      <c r="AS700" s="435"/>
      <c r="AT700" s="995"/>
    </row>
    <row r="701" spans="3:46" x14ac:dyDescent="0.25">
      <c r="C701" s="893"/>
      <c r="D701" s="893"/>
      <c r="E701" s="894"/>
      <c r="F701" s="443"/>
      <c r="G701" s="919"/>
      <c r="H701" s="1037"/>
      <c r="I701" s="93"/>
      <c r="J701" s="895"/>
      <c r="K701" s="295">
        <v>2018</v>
      </c>
      <c r="L701" s="548"/>
      <c r="M701" s="548"/>
      <c r="N701" s="548"/>
      <c r="O701" s="127">
        <f>COUNTA(Modificaciones!I687,Modificaciones!K687,Modificaciones!M687,Modificaciones!O687)</f>
        <v>0</v>
      </c>
      <c r="P701" s="128">
        <f>VLOOKUP(E701,Modificaciones!$B$7:$Q$900,16,0)</f>
        <v>0</v>
      </c>
      <c r="Q701" s="129">
        <f>COUNTA(Modificaciones!S701,Modificaciones!U701,Modificaciones!W701,Modificaciones!Y701)</f>
        <v>0</v>
      </c>
      <c r="R701" s="130" t="str">
        <f>IF(Modificaciones!Z701=0,"",VLOOKUP(E701,Modificaciones!$B$7:$AA$500,25,0))</f>
        <v/>
      </c>
      <c r="S701" s="131" t="str">
        <f>IF(Modificaciones!AA701=0,"",VLOOKUP(E701,Modificaciones!$B$7:$AA$500,26,0))</f>
        <v/>
      </c>
      <c r="T701" s="881">
        <f t="shared" si="158"/>
        <v>0</v>
      </c>
      <c r="U701" s="62">
        <f t="shared" si="159"/>
        <v>0</v>
      </c>
      <c r="V701" s="172">
        <f>VLOOKUP(E701,Modificaciones!$B$7:$AU$900,46,0)</f>
        <v>0</v>
      </c>
      <c r="W701" s="93">
        <f t="shared" si="160"/>
        <v>0</v>
      </c>
      <c r="X701" s="309"/>
      <c r="Y701" s="878" t="e">
        <f t="shared" si="161"/>
        <v>#DIV/0!</v>
      </c>
      <c r="Z701" s="42" t="e">
        <f t="shared" ca="1" si="162"/>
        <v>#DIV/0!</v>
      </c>
      <c r="AA701" s="43" t="e">
        <f t="shared" ca="1" si="163"/>
        <v>#DIV/0!</v>
      </c>
      <c r="AB701" s="202" t="e">
        <f t="shared" ca="1" si="164"/>
        <v>#DIV/0!</v>
      </c>
      <c r="AC701" s="44" t="e">
        <f t="shared" si="165"/>
        <v>#DIV/0!</v>
      </c>
      <c r="AD701" s="894"/>
      <c r="AE701" s="897"/>
      <c r="AF701" s="897"/>
      <c r="AG701" s="894"/>
      <c r="AH701" s="894"/>
      <c r="AI701" s="894"/>
      <c r="AJ701" s="305" t="s">
        <v>2845</v>
      </c>
      <c r="AK701" s="181" t="str">
        <f t="shared" ca="1" si="166"/>
        <v>TERMINO</v>
      </c>
      <c r="AL701" s="443"/>
      <c r="AM701" s="435"/>
      <c r="AN701" s="872" t="str">
        <f>IFERROR(VLOOKUP(E701,'liquidaciones '!$B$2:$C$1048576,2,0),"NO")</f>
        <v>NO</v>
      </c>
      <c r="AO701" s="972" t="str">
        <f>IFERROR(VLOOKUP(E701,'liquidaciones '!$B$2:$I$1048576,8,0),"")</f>
        <v/>
      </c>
      <c r="AP701" s="435"/>
      <c r="AQ701" s="435"/>
      <c r="AR701" s="1060"/>
      <c r="AS701" s="435"/>
      <c r="AT701" s="995"/>
    </row>
    <row r="702" spans="3:46" x14ac:dyDescent="0.25">
      <c r="C702" s="893"/>
      <c r="D702" s="893"/>
      <c r="E702" s="894"/>
      <c r="F702" s="443"/>
      <c r="G702" s="919"/>
      <c r="H702" s="1037"/>
      <c r="I702" s="93"/>
      <c r="J702" s="895"/>
      <c r="K702" s="295">
        <v>2018</v>
      </c>
      <c r="L702" s="548"/>
      <c r="M702" s="548"/>
      <c r="N702" s="548"/>
      <c r="O702" s="127">
        <f>COUNTA(Modificaciones!I688,Modificaciones!K688,Modificaciones!M688,Modificaciones!O688)</f>
        <v>0</v>
      </c>
      <c r="P702" s="128">
        <f>VLOOKUP(E702,Modificaciones!$B$7:$Q$900,16,0)</f>
        <v>0</v>
      </c>
      <c r="Q702" s="129">
        <f>COUNTA(Modificaciones!S702,Modificaciones!U702,Modificaciones!W702,Modificaciones!Y702)</f>
        <v>0</v>
      </c>
      <c r="R702" s="130" t="str">
        <f>IF(Modificaciones!Z702=0,"",VLOOKUP(E702,Modificaciones!$B$7:$AA$500,25,0))</f>
        <v/>
      </c>
      <c r="S702" s="131" t="str">
        <f>IF(Modificaciones!AA702=0,"",VLOOKUP(E702,Modificaciones!$B$7:$AA$500,26,0))</f>
        <v/>
      </c>
      <c r="T702" s="881">
        <f t="shared" si="158"/>
        <v>0</v>
      </c>
      <c r="U702" s="62">
        <f t="shared" si="159"/>
        <v>0</v>
      </c>
      <c r="V702" s="172">
        <f>VLOOKUP(E702,Modificaciones!$B$7:$AU$900,46,0)</f>
        <v>0</v>
      </c>
      <c r="W702" s="93">
        <f t="shared" si="160"/>
        <v>0</v>
      </c>
      <c r="X702" s="309"/>
      <c r="Y702" s="878" t="e">
        <f t="shared" si="161"/>
        <v>#DIV/0!</v>
      </c>
      <c r="Z702" s="42" t="e">
        <f t="shared" ca="1" si="162"/>
        <v>#DIV/0!</v>
      </c>
      <c r="AA702" s="43" t="e">
        <f t="shared" ca="1" si="163"/>
        <v>#DIV/0!</v>
      </c>
      <c r="AB702" s="202" t="e">
        <f t="shared" ca="1" si="164"/>
        <v>#DIV/0!</v>
      </c>
      <c r="AC702" s="44" t="e">
        <f t="shared" si="165"/>
        <v>#DIV/0!</v>
      </c>
      <c r="AD702" s="894"/>
      <c r="AE702" s="897"/>
      <c r="AF702" s="897"/>
      <c r="AG702" s="894"/>
      <c r="AH702" s="894"/>
      <c r="AI702" s="894"/>
      <c r="AJ702" s="305" t="s">
        <v>2845</v>
      </c>
      <c r="AK702" s="181" t="str">
        <f t="shared" ca="1" si="166"/>
        <v>TERMINO</v>
      </c>
      <c r="AL702" s="443"/>
      <c r="AM702" s="435"/>
      <c r="AN702" s="872" t="str">
        <f>IFERROR(VLOOKUP(E702,'liquidaciones '!$B$2:$C$1048576,2,0),"NO")</f>
        <v>NO</v>
      </c>
      <c r="AO702" s="972" t="str">
        <f>IFERROR(VLOOKUP(E702,'liquidaciones '!$B$2:$I$1048576,8,0),"")</f>
        <v/>
      </c>
      <c r="AP702" s="435"/>
      <c r="AQ702" s="435"/>
      <c r="AR702" s="1060"/>
      <c r="AS702" s="435"/>
      <c r="AT702" s="995"/>
    </row>
    <row r="703" spans="3:46" x14ac:dyDescent="0.25">
      <c r="C703" s="893"/>
      <c r="D703" s="893"/>
      <c r="E703" s="894"/>
      <c r="F703" s="443"/>
      <c r="G703" s="919"/>
      <c r="H703" s="1037"/>
      <c r="I703" s="93"/>
      <c r="J703" s="895"/>
      <c r="K703" s="295">
        <v>2018</v>
      </c>
      <c r="L703" s="548"/>
      <c r="M703" s="548"/>
      <c r="N703" s="548"/>
      <c r="O703" s="127">
        <f>COUNTA(Modificaciones!I689,Modificaciones!K689,Modificaciones!M689,Modificaciones!O689)</f>
        <v>0</v>
      </c>
      <c r="P703" s="128">
        <f>VLOOKUP(E703,Modificaciones!$B$7:$Q$900,16,0)</f>
        <v>0</v>
      </c>
      <c r="Q703" s="129">
        <f>COUNTA(Modificaciones!S703,Modificaciones!U703,Modificaciones!W703,Modificaciones!Y703)</f>
        <v>0</v>
      </c>
      <c r="R703" s="130" t="str">
        <f>IF(Modificaciones!Z703=0,"",VLOOKUP(E703,Modificaciones!$B$7:$AA$500,25,0))</f>
        <v/>
      </c>
      <c r="S703" s="131" t="str">
        <f>IF(Modificaciones!AA703=0,"",VLOOKUP(E703,Modificaciones!$B$7:$AA$500,26,0))</f>
        <v/>
      </c>
      <c r="T703" s="881">
        <f t="shared" si="158"/>
        <v>0</v>
      </c>
      <c r="U703" s="62">
        <f t="shared" si="159"/>
        <v>0</v>
      </c>
      <c r="V703" s="172">
        <f>VLOOKUP(E703,Modificaciones!$B$7:$AU$900,46,0)</f>
        <v>0</v>
      </c>
      <c r="W703" s="93">
        <f t="shared" si="160"/>
        <v>0</v>
      </c>
      <c r="X703" s="309"/>
      <c r="Y703" s="878" t="e">
        <f t="shared" si="161"/>
        <v>#DIV/0!</v>
      </c>
      <c r="Z703" s="42" t="e">
        <f t="shared" ca="1" si="162"/>
        <v>#DIV/0!</v>
      </c>
      <c r="AA703" s="43" t="e">
        <f t="shared" ca="1" si="163"/>
        <v>#DIV/0!</v>
      </c>
      <c r="AB703" s="202" t="e">
        <f t="shared" ca="1" si="164"/>
        <v>#DIV/0!</v>
      </c>
      <c r="AC703" s="44" t="e">
        <f t="shared" si="165"/>
        <v>#DIV/0!</v>
      </c>
      <c r="AD703" s="894"/>
      <c r="AE703" s="897"/>
      <c r="AF703" s="897"/>
      <c r="AG703" s="894"/>
      <c r="AH703" s="894"/>
      <c r="AI703" s="894"/>
      <c r="AJ703" s="305" t="s">
        <v>2845</v>
      </c>
      <c r="AK703" s="181" t="str">
        <f t="shared" ca="1" si="166"/>
        <v>TERMINO</v>
      </c>
      <c r="AL703" s="443"/>
      <c r="AM703" s="435"/>
      <c r="AN703" s="872" t="str">
        <f>IFERROR(VLOOKUP(E703,'liquidaciones '!$B$2:$C$1048576,2,0),"NO")</f>
        <v>NO</v>
      </c>
      <c r="AO703" s="972" t="str">
        <f>IFERROR(VLOOKUP(E703,'liquidaciones '!$B$2:$I$1048576,8,0),"")</f>
        <v/>
      </c>
      <c r="AP703" s="435"/>
      <c r="AQ703" s="435"/>
      <c r="AR703" s="1060"/>
      <c r="AS703" s="435"/>
      <c r="AT703" s="995"/>
    </row>
    <row r="704" spans="3:46" x14ac:dyDescent="0.25">
      <c r="C704" s="893"/>
      <c r="D704" s="893"/>
      <c r="E704" s="894"/>
      <c r="F704" s="443"/>
      <c r="G704" s="919"/>
      <c r="H704" s="1037"/>
      <c r="I704" s="93"/>
      <c r="J704" s="895"/>
      <c r="K704" s="295">
        <v>2018</v>
      </c>
      <c r="L704" s="548"/>
      <c r="M704" s="548"/>
      <c r="N704" s="548"/>
      <c r="O704" s="127">
        <f>COUNTA(Modificaciones!I690,Modificaciones!K690,Modificaciones!M690,Modificaciones!O690)</f>
        <v>0</v>
      </c>
      <c r="P704" s="128">
        <f>VLOOKUP(E704,Modificaciones!$B$7:$Q$900,16,0)</f>
        <v>0</v>
      </c>
      <c r="Q704" s="129">
        <f>COUNTA(Modificaciones!S704,Modificaciones!U704,Modificaciones!W704,Modificaciones!Y704)</f>
        <v>0</v>
      </c>
      <c r="R704" s="130" t="str">
        <f>IF(Modificaciones!Z704=0,"",VLOOKUP(E704,Modificaciones!$B$7:$AA$500,25,0))</f>
        <v/>
      </c>
      <c r="S704" s="131" t="str">
        <f>IF(Modificaciones!AA704=0,"",VLOOKUP(E704,Modificaciones!$B$7:$AA$500,26,0))</f>
        <v/>
      </c>
      <c r="T704" s="881">
        <f t="shared" si="158"/>
        <v>0</v>
      </c>
      <c r="U704" s="62">
        <f t="shared" si="159"/>
        <v>0</v>
      </c>
      <c r="V704" s="172">
        <f>VLOOKUP(E704,Modificaciones!$B$7:$AU$900,46,0)</f>
        <v>0</v>
      </c>
      <c r="W704" s="93">
        <f t="shared" si="160"/>
        <v>0</v>
      </c>
      <c r="X704" s="309"/>
      <c r="Y704" s="878" t="e">
        <f t="shared" si="161"/>
        <v>#DIV/0!</v>
      </c>
      <c r="Z704" s="42" t="e">
        <f t="shared" ca="1" si="162"/>
        <v>#DIV/0!</v>
      </c>
      <c r="AA704" s="43" t="e">
        <f t="shared" ca="1" si="163"/>
        <v>#DIV/0!</v>
      </c>
      <c r="AB704" s="202" t="e">
        <f t="shared" ca="1" si="164"/>
        <v>#DIV/0!</v>
      </c>
      <c r="AC704" s="44" t="e">
        <f t="shared" si="165"/>
        <v>#DIV/0!</v>
      </c>
      <c r="AD704" s="894"/>
      <c r="AE704" s="897"/>
      <c r="AF704" s="897"/>
      <c r="AG704" s="894"/>
      <c r="AH704" s="894"/>
      <c r="AI704" s="894"/>
      <c r="AJ704" s="305" t="s">
        <v>2845</v>
      </c>
      <c r="AK704" s="181" t="str">
        <f t="shared" ca="1" si="166"/>
        <v>TERMINO</v>
      </c>
      <c r="AL704" s="443"/>
      <c r="AM704" s="435"/>
      <c r="AN704" s="872" t="str">
        <f>IFERROR(VLOOKUP(E704,'liquidaciones '!$B$2:$C$1048576,2,0),"NO")</f>
        <v>NO</v>
      </c>
      <c r="AO704" s="972" t="str">
        <f>IFERROR(VLOOKUP(E704,'liquidaciones '!$B$2:$I$1048576,8,0),"")</f>
        <v/>
      </c>
      <c r="AP704" s="435"/>
      <c r="AQ704" s="435"/>
      <c r="AR704" s="1060"/>
      <c r="AS704" s="435"/>
      <c r="AT704" s="995"/>
    </row>
    <row r="705" spans="3:46" x14ac:dyDescent="0.25">
      <c r="C705" s="893"/>
      <c r="D705" s="893"/>
      <c r="E705" s="894"/>
      <c r="F705" s="443"/>
      <c r="G705" s="919"/>
      <c r="H705" s="1037"/>
      <c r="I705" s="93"/>
      <c r="J705" s="895"/>
      <c r="K705" s="295">
        <v>2018</v>
      </c>
      <c r="L705" s="548"/>
      <c r="M705" s="548"/>
      <c r="N705" s="548"/>
      <c r="O705" s="127">
        <f>COUNTA(Modificaciones!I691,Modificaciones!K691,Modificaciones!M691,Modificaciones!O691)</f>
        <v>0</v>
      </c>
      <c r="P705" s="128">
        <f>VLOOKUP(E705,Modificaciones!$B$7:$Q$900,16,0)</f>
        <v>0</v>
      </c>
      <c r="Q705" s="129">
        <f>COUNTA(Modificaciones!S705,Modificaciones!U705,Modificaciones!W705,Modificaciones!Y705)</f>
        <v>0</v>
      </c>
      <c r="R705" s="130" t="str">
        <f>IF(Modificaciones!Z705=0,"",VLOOKUP(E705,Modificaciones!$B$7:$AA$500,25,0))</f>
        <v/>
      </c>
      <c r="S705" s="131" t="str">
        <f>IF(Modificaciones!AA705=0,"",VLOOKUP(E705,Modificaciones!$B$7:$AA$500,26,0))</f>
        <v/>
      </c>
      <c r="T705" s="881">
        <f t="shared" si="158"/>
        <v>0</v>
      </c>
      <c r="U705" s="62">
        <f t="shared" si="159"/>
        <v>0</v>
      </c>
      <c r="V705" s="172">
        <f>VLOOKUP(E705,Modificaciones!$B$7:$AU$900,46,0)</f>
        <v>0</v>
      </c>
      <c r="W705" s="93">
        <f t="shared" si="160"/>
        <v>0</v>
      </c>
      <c r="X705" s="309"/>
      <c r="Y705" s="878" t="e">
        <f t="shared" si="161"/>
        <v>#DIV/0!</v>
      </c>
      <c r="Z705" s="42" t="e">
        <f t="shared" ca="1" si="162"/>
        <v>#DIV/0!</v>
      </c>
      <c r="AA705" s="43" t="e">
        <f t="shared" ca="1" si="163"/>
        <v>#DIV/0!</v>
      </c>
      <c r="AB705" s="202" t="e">
        <f t="shared" ca="1" si="164"/>
        <v>#DIV/0!</v>
      </c>
      <c r="AC705" s="44" t="e">
        <f t="shared" si="165"/>
        <v>#DIV/0!</v>
      </c>
      <c r="AD705" s="894"/>
      <c r="AE705" s="897"/>
      <c r="AF705" s="897"/>
      <c r="AG705" s="894"/>
      <c r="AH705" s="894"/>
      <c r="AI705" s="894"/>
      <c r="AJ705" s="305" t="s">
        <v>2845</v>
      </c>
      <c r="AK705" s="181" t="str">
        <f t="shared" ca="1" si="166"/>
        <v>TERMINO</v>
      </c>
      <c r="AL705" s="443"/>
      <c r="AM705" s="435"/>
      <c r="AN705" s="872" t="str">
        <f>IFERROR(VLOOKUP(E705,'liquidaciones '!$B$2:$C$1048576,2,0),"NO")</f>
        <v>NO</v>
      </c>
      <c r="AO705" s="972" t="str">
        <f>IFERROR(VLOOKUP(E705,'liquidaciones '!$B$2:$I$1048576,8,0),"")</f>
        <v/>
      </c>
      <c r="AP705" s="435"/>
      <c r="AQ705" s="435"/>
      <c r="AR705" s="1060"/>
      <c r="AS705" s="435"/>
      <c r="AT705" s="995"/>
    </row>
    <row r="706" spans="3:46" x14ac:dyDescent="0.25">
      <c r="C706" s="893"/>
      <c r="D706" s="893"/>
      <c r="E706" s="894"/>
      <c r="F706" s="443"/>
      <c r="G706" s="919"/>
      <c r="H706" s="1037"/>
      <c r="I706" s="93"/>
      <c r="J706" s="895"/>
      <c r="K706" s="295">
        <v>2018</v>
      </c>
      <c r="L706" s="548"/>
      <c r="M706" s="548"/>
      <c r="N706" s="548"/>
      <c r="O706" s="127">
        <f>COUNTA(Modificaciones!I692,Modificaciones!K692,Modificaciones!M692,Modificaciones!O692)</f>
        <v>0</v>
      </c>
      <c r="P706" s="128">
        <f>VLOOKUP(E706,Modificaciones!$B$7:$Q$900,16,0)</f>
        <v>0</v>
      </c>
      <c r="Q706" s="129">
        <f>COUNTA(Modificaciones!S706,Modificaciones!U706,Modificaciones!W706,Modificaciones!Y706)</f>
        <v>0</v>
      </c>
      <c r="R706" s="130" t="str">
        <f>IF(Modificaciones!Z706=0,"",VLOOKUP(E706,Modificaciones!$B$7:$AA$500,25,0))</f>
        <v/>
      </c>
      <c r="S706" s="131" t="str">
        <f>IF(Modificaciones!AA706=0,"",VLOOKUP(E706,Modificaciones!$B$7:$AA$500,26,0))</f>
        <v/>
      </c>
      <c r="T706" s="881">
        <f t="shared" si="158"/>
        <v>0</v>
      </c>
      <c r="U706" s="62">
        <f t="shared" si="159"/>
        <v>0</v>
      </c>
      <c r="V706" s="172">
        <f>VLOOKUP(E706,Modificaciones!$B$7:$AU$900,46,0)</f>
        <v>0</v>
      </c>
      <c r="W706" s="93">
        <f t="shared" si="160"/>
        <v>0</v>
      </c>
      <c r="X706" s="309"/>
      <c r="Y706" s="878" t="e">
        <f t="shared" si="161"/>
        <v>#DIV/0!</v>
      </c>
      <c r="Z706" s="42" t="e">
        <f t="shared" ca="1" si="162"/>
        <v>#DIV/0!</v>
      </c>
      <c r="AA706" s="43" t="e">
        <f t="shared" ca="1" si="163"/>
        <v>#DIV/0!</v>
      </c>
      <c r="AB706" s="202" t="e">
        <f t="shared" ca="1" si="164"/>
        <v>#DIV/0!</v>
      </c>
      <c r="AC706" s="44" t="e">
        <f t="shared" si="165"/>
        <v>#DIV/0!</v>
      </c>
      <c r="AD706" s="894"/>
      <c r="AE706" s="897"/>
      <c r="AF706" s="897"/>
      <c r="AG706" s="894"/>
      <c r="AH706" s="894"/>
      <c r="AI706" s="894"/>
      <c r="AJ706" s="305" t="s">
        <v>2845</v>
      </c>
      <c r="AK706" s="181" t="str">
        <f t="shared" ca="1" si="166"/>
        <v>TERMINO</v>
      </c>
      <c r="AL706" s="443"/>
      <c r="AM706" s="435"/>
      <c r="AN706" s="872" t="str">
        <f>IFERROR(VLOOKUP(E706,'liquidaciones '!$B$2:$C$1048576,2,0),"NO")</f>
        <v>NO</v>
      </c>
      <c r="AO706" s="972" t="str">
        <f>IFERROR(VLOOKUP(E706,'liquidaciones '!$B$2:$I$1048576,8,0),"")</f>
        <v/>
      </c>
      <c r="AP706" s="435"/>
      <c r="AQ706" s="435"/>
      <c r="AR706" s="1060"/>
      <c r="AS706" s="435"/>
      <c r="AT706" s="995"/>
    </row>
    <row r="707" spans="3:46" x14ac:dyDescent="0.25">
      <c r="C707" s="893"/>
      <c r="D707" s="893"/>
      <c r="E707" s="894"/>
      <c r="F707" s="443"/>
      <c r="G707" s="919"/>
      <c r="H707" s="1037"/>
      <c r="I707" s="93"/>
      <c r="J707" s="895"/>
      <c r="K707" s="295">
        <v>2018</v>
      </c>
      <c r="L707" s="548"/>
      <c r="M707" s="548"/>
      <c r="N707" s="548"/>
      <c r="O707" s="127">
        <f>COUNTA(Modificaciones!I693,Modificaciones!K693,Modificaciones!M693,Modificaciones!O693)</f>
        <v>0</v>
      </c>
      <c r="P707" s="128">
        <f>VLOOKUP(E707,Modificaciones!$B$7:$Q$900,16,0)</f>
        <v>0</v>
      </c>
      <c r="Q707" s="129">
        <f>COUNTA(Modificaciones!S707,Modificaciones!U707,Modificaciones!W707,Modificaciones!Y707)</f>
        <v>0</v>
      </c>
      <c r="R707" s="130" t="str">
        <f>IF(Modificaciones!Z707=0,"",VLOOKUP(E707,Modificaciones!$B$7:$AA$500,25,0))</f>
        <v/>
      </c>
      <c r="S707" s="131" t="str">
        <f>IF(Modificaciones!AA707=0,"",VLOOKUP(E707,Modificaciones!$B$7:$AA$500,26,0))</f>
        <v/>
      </c>
      <c r="T707" s="881">
        <f t="shared" si="158"/>
        <v>0</v>
      </c>
      <c r="U707" s="62">
        <f t="shared" si="159"/>
        <v>0</v>
      </c>
      <c r="V707" s="172">
        <f>VLOOKUP(E707,Modificaciones!$B$7:$AU$900,46,0)</f>
        <v>0</v>
      </c>
      <c r="W707" s="93">
        <f t="shared" si="160"/>
        <v>0</v>
      </c>
      <c r="X707" s="309"/>
      <c r="Y707" s="878" t="e">
        <f t="shared" si="161"/>
        <v>#DIV/0!</v>
      </c>
      <c r="Z707" s="42" t="e">
        <f t="shared" ca="1" si="162"/>
        <v>#DIV/0!</v>
      </c>
      <c r="AA707" s="43" t="e">
        <f t="shared" ca="1" si="163"/>
        <v>#DIV/0!</v>
      </c>
      <c r="AB707" s="202" t="e">
        <f t="shared" ca="1" si="164"/>
        <v>#DIV/0!</v>
      </c>
      <c r="AC707" s="44" t="e">
        <f t="shared" si="165"/>
        <v>#DIV/0!</v>
      </c>
      <c r="AD707" s="894"/>
      <c r="AE707" s="897"/>
      <c r="AF707" s="897"/>
      <c r="AG707" s="894"/>
      <c r="AH707" s="894"/>
      <c r="AI707" s="894"/>
      <c r="AJ707" s="305" t="s">
        <v>2845</v>
      </c>
      <c r="AK707" s="181" t="str">
        <f t="shared" ca="1" si="166"/>
        <v>TERMINO</v>
      </c>
      <c r="AL707" s="443"/>
      <c r="AM707" s="435"/>
      <c r="AN707" s="872" t="str">
        <f>IFERROR(VLOOKUP(E707,'liquidaciones '!$B$2:$C$1048576,2,0),"NO")</f>
        <v>NO</v>
      </c>
      <c r="AO707" s="972" t="str">
        <f>IFERROR(VLOOKUP(E707,'liquidaciones '!$B$2:$I$1048576,8,0),"")</f>
        <v/>
      </c>
      <c r="AP707" s="435"/>
      <c r="AQ707" s="435"/>
      <c r="AR707" s="1060"/>
      <c r="AS707" s="435"/>
      <c r="AT707" s="995"/>
    </row>
    <row r="708" spans="3:46" x14ac:dyDescent="0.25">
      <c r="C708" s="893"/>
      <c r="D708" s="893"/>
      <c r="E708" s="894"/>
      <c r="F708" s="443"/>
      <c r="G708" s="919"/>
      <c r="H708" s="1037"/>
      <c r="I708" s="93"/>
      <c r="J708" s="895"/>
      <c r="K708" s="295">
        <v>2018</v>
      </c>
      <c r="L708" s="548"/>
      <c r="M708" s="548"/>
      <c r="N708" s="548"/>
      <c r="O708" s="127">
        <f>COUNTA(Modificaciones!I694,Modificaciones!K694,Modificaciones!M694,Modificaciones!O694)</f>
        <v>0</v>
      </c>
      <c r="P708" s="128">
        <f>VLOOKUP(E708,Modificaciones!$B$7:$Q$900,16,0)</f>
        <v>0</v>
      </c>
      <c r="Q708" s="129">
        <f>COUNTA(Modificaciones!S708,Modificaciones!U708,Modificaciones!W708,Modificaciones!Y708)</f>
        <v>0</v>
      </c>
      <c r="R708" s="130" t="str">
        <f>IF(Modificaciones!Z708=0,"",VLOOKUP(E708,Modificaciones!$B$7:$AA$500,25,0))</f>
        <v/>
      </c>
      <c r="S708" s="131" t="str">
        <f>IF(Modificaciones!AA708=0,"",VLOOKUP(E708,Modificaciones!$B$7:$AA$500,26,0))</f>
        <v/>
      </c>
      <c r="T708" s="881">
        <f t="shared" si="158"/>
        <v>0</v>
      </c>
      <c r="U708" s="62">
        <f t="shared" si="159"/>
        <v>0</v>
      </c>
      <c r="V708" s="172">
        <f>VLOOKUP(E708,Modificaciones!$B$7:$AU$900,46,0)</f>
        <v>0</v>
      </c>
      <c r="W708" s="93">
        <f t="shared" si="160"/>
        <v>0</v>
      </c>
      <c r="X708" s="309"/>
      <c r="Y708" s="878" t="e">
        <f t="shared" si="161"/>
        <v>#DIV/0!</v>
      </c>
      <c r="Z708" s="42" t="e">
        <f t="shared" ca="1" si="162"/>
        <v>#DIV/0!</v>
      </c>
      <c r="AA708" s="43" t="e">
        <f t="shared" ca="1" si="163"/>
        <v>#DIV/0!</v>
      </c>
      <c r="AB708" s="202" t="e">
        <f t="shared" ca="1" si="164"/>
        <v>#DIV/0!</v>
      </c>
      <c r="AC708" s="44" t="e">
        <f t="shared" si="165"/>
        <v>#DIV/0!</v>
      </c>
      <c r="AD708" s="894"/>
      <c r="AE708" s="897"/>
      <c r="AF708" s="897"/>
      <c r="AG708" s="894"/>
      <c r="AH708" s="894"/>
      <c r="AI708" s="894"/>
      <c r="AJ708" s="305" t="s">
        <v>2845</v>
      </c>
      <c r="AK708" s="181" t="str">
        <f t="shared" ca="1" si="166"/>
        <v>TERMINO</v>
      </c>
      <c r="AL708" s="443"/>
      <c r="AM708" s="435"/>
      <c r="AN708" s="872" t="str">
        <f>IFERROR(VLOOKUP(E708,'liquidaciones '!$B$2:$C$1048576,2,0),"NO")</f>
        <v>NO</v>
      </c>
      <c r="AO708" s="972" t="str">
        <f>IFERROR(VLOOKUP(E708,'liquidaciones '!$B$2:$I$1048576,8,0),"")</f>
        <v/>
      </c>
      <c r="AP708" s="435"/>
      <c r="AQ708" s="435"/>
      <c r="AR708" s="1060"/>
      <c r="AS708" s="435"/>
      <c r="AT708" s="995"/>
    </row>
    <row r="709" spans="3:46" x14ac:dyDescent="0.25">
      <c r="C709" s="893"/>
      <c r="D709" s="893"/>
      <c r="E709" s="894"/>
      <c r="F709" s="443"/>
      <c r="G709" s="919"/>
      <c r="H709" s="1037"/>
      <c r="I709" s="93"/>
      <c r="J709" s="895"/>
      <c r="K709" s="295">
        <v>2018</v>
      </c>
      <c r="L709" s="548"/>
      <c r="M709" s="548"/>
      <c r="N709" s="548"/>
      <c r="O709" s="127">
        <f>COUNTA(Modificaciones!I695,Modificaciones!K695,Modificaciones!M695,Modificaciones!O695)</f>
        <v>0</v>
      </c>
      <c r="P709" s="128">
        <f>VLOOKUP(E709,Modificaciones!$B$7:$Q$900,16,0)</f>
        <v>0</v>
      </c>
      <c r="Q709" s="129">
        <f>COUNTA(Modificaciones!S709,Modificaciones!U709,Modificaciones!W709,Modificaciones!Y709)</f>
        <v>0</v>
      </c>
      <c r="R709" s="130" t="str">
        <f>IF(Modificaciones!Z709=0,"",VLOOKUP(E709,Modificaciones!$B$7:$AA$500,25,0))</f>
        <v/>
      </c>
      <c r="S709" s="131" t="str">
        <f>IF(Modificaciones!AA709=0,"",VLOOKUP(E709,Modificaciones!$B$7:$AA$500,26,0))</f>
        <v/>
      </c>
      <c r="T709" s="881">
        <f t="shared" si="158"/>
        <v>0</v>
      </c>
      <c r="U709" s="62">
        <f t="shared" si="159"/>
        <v>0</v>
      </c>
      <c r="V709" s="172">
        <f>VLOOKUP(E709,Modificaciones!$B$7:$AU$900,46,0)</f>
        <v>0</v>
      </c>
      <c r="W709" s="93">
        <f t="shared" si="160"/>
        <v>0</v>
      </c>
      <c r="X709" s="309"/>
      <c r="Y709" s="878" t="e">
        <f t="shared" si="161"/>
        <v>#DIV/0!</v>
      </c>
      <c r="Z709" s="42" t="e">
        <f t="shared" ca="1" si="162"/>
        <v>#DIV/0!</v>
      </c>
      <c r="AA709" s="43" t="e">
        <f t="shared" ca="1" si="163"/>
        <v>#DIV/0!</v>
      </c>
      <c r="AB709" s="202" t="e">
        <f t="shared" ca="1" si="164"/>
        <v>#DIV/0!</v>
      </c>
      <c r="AC709" s="44" t="e">
        <f t="shared" si="165"/>
        <v>#DIV/0!</v>
      </c>
      <c r="AD709" s="894"/>
      <c r="AE709" s="897"/>
      <c r="AF709" s="897"/>
      <c r="AG709" s="894"/>
      <c r="AH709" s="894"/>
      <c r="AI709" s="894"/>
      <c r="AJ709" s="305" t="s">
        <v>2845</v>
      </c>
      <c r="AK709" s="181" t="str">
        <f t="shared" ca="1" si="166"/>
        <v>TERMINO</v>
      </c>
      <c r="AL709" s="443"/>
      <c r="AM709" s="435"/>
      <c r="AN709" s="872" t="str">
        <f>IFERROR(VLOOKUP(E709,'liquidaciones '!$B$2:$C$1048576,2,0),"NO")</f>
        <v>NO</v>
      </c>
      <c r="AO709" s="972" t="str">
        <f>IFERROR(VLOOKUP(E709,'liquidaciones '!$B$2:$I$1048576,8,0),"")</f>
        <v/>
      </c>
      <c r="AP709" s="435"/>
      <c r="AQ709" s="435"/>
      <c r="AR709" s="1060"/>
      <c r="AS709" s="435"/>
      <c r="AT709" s="995"/>
    </row>
    <row r="710" spans="3:46" x14ac:dyDescent="0.25">
      <c r="C710" s="893"/>
      <c r="D710" s="893"/>
      <c r="E710" s="894"/>
      <c r="F710" s="443"/>
      <c r="G710" s="919"/>
      <c r="H710" s="1037"/>
      <c r="I710" s="93"/>
      <c r="J710" s="895"/>
      <c r="K710" s="295">
        <v>2018</v>
      </c>
      <c r="L710" s="548"/>
      <c r="M710" s="548"/>
      <c r="N710" s="548"/>
      <c r="O710" s="127">
        <f>COUNTA(Modificaciones!I696,Modificaciones!K696,Modificaciones!M696,Modificaciones!O696)</f>
        <v>0</v>
      </c>
      <c r="P710" s="128">
        <f>VLOOKUP(E710,Modificaciones!$B$7:$Q$900,16,0)</f>
        <v>0</v>
      </c>
      <c r="Q710" s="129">
        <f>COUNTA(Modificaciones!S710,Modificaciones!U710,Modificaciones!W710,Modificaciones!Y710)</f>
        <v>0</v>
      </c>
      <c r="R710" s="130" t="str">
        <f>IF(Modificaciones!Z710=0,"",VLOOKUP(E710,Modificaciones!$B$7:$AA$500,25,0))</f>
        <v/>
      </c>
      <c r="S710" s="131" t="str">
        <f>IF(Modificaciones!AA710=0,"",VLOOKUP(E710,Modificaciones!$B$7:$AA$500,26,0))</f>
        <v/>
      </c>
      <c r="T710" s="881">
        <f t="shared" si="158"/>
        <v>0</v>
      </c>
      <c r="U710" s="62">
        <f t="shared" si="159"/>
        <v>0</v>
      </c>
      <c r="V710" s="172">
        <f>VLOOKUP(E710,Modificaciones!$B$7:$AU$900,46,0)</f>
        <v>0</v>
      </c>
      <c r="W710" s="93">
        <f t="shared" si="160"/>
        <v>0</v>
      </c>
      <c r="X710" s="309"/>
      <c r="Y710" s="878" t="e">
        <f t="shared" si="161"/>
        <v>#DIV/0!</v>
      </c>
      <c r="Z710" s="42" t="e">
        <f t="shared" ca="1" si="162"/>
        <v>#DIV/0!</v>
      </c>
      <c r="AA710" s="43" t="e">
        <f t="shared" ca="1" si="163"/>
        <v>#DIV/0!</v>
      </c>
      <c r="AB710" s="202" t="e">
        <f t="shared" ca="1" si="164"/>
        <v>#DIV/0!</v>
      </c>
      <c r="AC710" s="44" t="e">
        <f t="shared" si="165"/>
        <v>#DIV/0!</v>
      </c>
      <c r="AD710" s="894"/>
      <c r="AE710" s="897"/>
      <c r="AF710" s="897"/>
      <c r="AG710" s="894"/>
      <c r="AH710" s="894"/>
      <c r="AI710" s="894"/>
      <c r="AJ710" s="305" t="s">
        <v>2845</v>
      </c>
      <c r="AK710" s="181" t="str">
        <f t="shared" ca="1" si="166"/>
        <v>TERMINO</v>
      </c>
      <c r="AL710" s="443"/>
      <c r="AM710" s="435"/>
      <c r="AN710" s="872" t="str">
        <f>IFERROR(VLOOKUP(E710,'liquidaciones '!$B$2:$C$1048576,2,0),"NO")</f>
        <v>NO</v>
      </c>
      <c r="AO710" s="972" t="str">
        <f>IFERROR(VLOOKUP(E710,'liquidaciones '!$B$2:$I$1048576,8,0),"")</f>
        <v/>
      </c>
      <c r="AP710" s="435"/>
      <c r="AQ710" s="435"/>
      <c r="AR710" s="1060"/>
      <c r="AS710" s="435"/>
      <c r="AT710" s="995"/>
    </row>
    <row r="711" spans="3:46" x14ac:dyDescent="0.25">
      <c r="C711" s="893"/>
      <c r="D711" s="893"/>
      <c r="E711" s="894"/>
      <c r="F711" s="443"/>
      <c r="G711" s="919"/>
      <c r="H711" s="1037"/>
      <c r="I711" s="93"/>
      <c r="J711" s="895"/>
      <c r="K711" s="295">
        <v>2018</v>
      </c>
      <c r="L711" s="548"/>
      <c r="M711" s="548"/>
      <c r="N711" s="548"/>
      <c r="O711" s="127">
        <f>COUNTA(Modificaciones!I697,Modificaciones!K697,Modificaciones!M697,Modificaciones!O697)</f>
        <v>0</v>
      </c>
      <c r="P711" s="128">
        <f>VLOOKUP(E711,Modificaciones!$B$7:$Q$900,16,0)</f>
        <v>0</v>
      </c>
      <c r="Q711" s="129">
        <f>COUNTA(Modificaciones!S711,Modificaciones!U711,Modificaciones!W711,Modificaciones!Y711)</f>
        <v>0</v>
      </c>
      <c r="R711" s="130" t="str">
        <f>IF(Modificaciones!Z711=0,"",VLOOKUP(E711,Modificaciones!$B$7:$AA$500,25,0))</f>
        <v/>
      </c>
      <c r="S711" s="131" t="str">
        <f>IF(Modificaciones!AA711=0,"",VLOOKUP(E711,Modificaciones!$B$7:$AA$500,26,0))</f>
        <v/>
      </c>
      <c r="T711" s="881">
        <f t="shared" si="158"/>
        <v>0</v>
      </c>
      <c r="U711" s="62">
        <f t="shared" si="159"/>
        <v>0</v>
      </c>
      <c r="V711" s="172">
        <f>VLOOKUP(E711,Modificaciones!$B$7:$AU$900,46,0)</f>
        <v>0</v>
      </c>
      <c r="W711" s="93">
        <f t="shared" si="160"/>
        <v>0</v>
      </c>
      <c r="X711" s="309"/>
      <c r="Y711" s="878" t="e">
        <f t="shared" si="161"/>
        <v>#DIV/0!</v>
      </c>
      <c r="Z711" s="42" t="e">
        <f t="shared" ca="1" si="162"/>
        <v>#DIV/0!</v>
      </c>
      <c r="AA711" s="43" t="e">
        <f t="shared" ca="1" si="163"/>
        <v>#DIV/0!</v>
      </c>
      <c r="AB711" s="202" t="e">
        <f t="shared" ca="1" si="164"/>
        <v>#DIV/0!</v>
      </c>
      <c r="AC711" s="44" t="e">
        <f t="shared" si="165"/>
        <v>#DIV/0!</v>
      </c>
      <c r="AD711" s="894"/>
      <c r="AE711" s="897"/>
      <c r="AF711" s="897"/>
      <c r="AG711" s="894"/>
      <c r="AH711" s="894"/>
      <c r="AI711" s="894"/>
      <c r="AJ711" s="305" t="s">
        <v>2845</v>
      </c>
      <c r="AK711" s="181" t="str">
        <f t="shared" ca="1" si="166"/>
        <v>TERMINO</v>
      </c>
      <c r="AL711" s="443"/>
      <c r="AM711" s="435"/>
      <c r="AN711" s="872" t="str">
        <f>IFERROR(VLOOKUP(E711,'liquidaciones '!$B$2:$C$1048576,2,0),"NO")</f>
        <v>NO</v>
      </c>
      <c r="AO711" s="972" t="str">
        <f>IFERROR(VLOOKUP(E711,'liquidaciones '!$B$2:$I$1048576,8,0),"")</f>
        <v/>
      </c>
      <c r="AP711" s="435"/>
      <c r="AQ711" s="435"/>
      <c r="AR711" s="1060"/>
      <c r="AS711" s="435"/>
      <c r="AT711" s="995"/>
    </row>
    <row r="712" spans="3:46" x14ac:dyDescent="0.25">
      <c r="C712" s="893"/>
      <c r="D712" s="893"/>
      <c r="E712" s="894"/>
      <c r="F712" s="443"/>
      <c r="G712" s="919"/>
      <c r="H712" s="1037"/>
      <c r="I712" s="93"/>
      <c r="J712" s="895"/>
      <c r="K712" s="295">
        <v>2018</v>
      </c>
      <c r="L712" s="548"/>
      <c r="M712" s="548"/>
      <c r="N712" s="548"/>
      <c r="O712" s="127">
        <f>COUNTA(Modificaciones!I698,Modificaciones!K698,Modificaciones!M698,Modificaciones!O698)</f>
        <v>0</v>
      </c>
      <c r="P712" s="128">
        <f>VLOOKUP(E712,Modificaciones!$B$7:$Q$900,16,0)</f>
        <v>0</v>
      </c>
      <c r="Q712" s="129">
        <f>COUNTA(Modificaciones!S712,Modificaciones!U712,Modificaciones!W712,Modificaciones!Y712)</f>
        <v>0</v>
      </c>
      <c r="R712" s="130" t="str">
        <f>IF(Modificaciones!Z712=0,"",VLOOKUP(E712,Modificaciones!$B$7:$AA$500,25,0))</f>
        <v/>
      </c>
      <c r="S712" s="131" t="str">
        <f>IF(Modificaciones!AA712=0,"",VLOOKUP(E712,Modificaciones!$B$7:$AA$500,26,0))</f>
        <v/>
      </c>
      <c r="T712" s="881">
        <f t="shared" si="158"/>
        <v>0</v>
      </c>
      <c r="U712" s="62">
        <f t="shared" si="159"/>
        <v>0</v>
      </c>
      <c r="V712" s="172">
        <f>VLOOKUP(E712,Modificaciones!$B$7:$AU$900,46,0)</f>
        <v>0</v>
      </c>
      <c r="W712" s="93">
        <f t="shared" si="160"/>
        <v>0</v>
      </c>
      <c r="X712" s="309"/>
      <c r="Y712" s="878" t="e">
        <f t="shared" si="161"/>
        <v>#DIV/0!</v>
      </c>
      <c r="Z712" s="42" t="e">
        <f t="shared" ca="1" si="162"/>
        <v>#DIV/0!</v>
      </c>
      <c r="AA712" s="43" t="e">
        <f t="shared" ca="1" si="163"/>
        <v>#DIV/0!</v>
      </c>
      <c r="AB712" s="202" t="e">
        <f t="shared" ca="1" si="164"/>
        <v>#DIV/0!</v>
      </c>
      <c r="AC712" s="44" t="e">
        <f t="shared" si="165"/>
        <v>#DIV/0!</v>
      </c>
      <c r="AD712" s="894"/>
      <c r="AE712" s="897"/>
      <c r="AF712" s="897"/>
      <c r="AG712" s="894"/>
      <c r="AH712" s="894"/>
      <c r="AI712" s="894"/>
      <c r="AJ712" s="305" t="s">
        <v>2845</v>
      </c>
      <c r="AK712" s="181" t="str">
        <f t="shared" ca="1" si="166"/>
        <v>TERMINO</v>
      </c>
      <c r="AL712" s="443"/>
      <c r="AM712" s="435"/>
      <c r="AN712" s="872" t="str">
        <f>IFERROR(VLOOKUP(E712,'liquidaciones '!$B$2:$C$1048576,2,0),"NO")</f>
        <v>NO</v>
      </c>
      <c r="AO712" s="972" t="str">
        <f>IFERROR(VLOOKUP(E712,'liquidaciones '!$B$2:$I$1048576,8,0),"")</f>
        <v/>
      </c>
      <c r="AP712" s="435"/>
      <c r="AQ712" s="435"/>
      <c r="AR712" s="1060"/>
      <c r="AS712" s="435"/>
      <c r="AT712" s="995"/>
    </row>
    <row r="713" spans="3:46" x14ac:dyDescent="0.25">
      <c r="C713" s="893"/>
      <c r="D713" s="893"/>
      <c r="E713" s="894"/>
      <c r="F713" s="443"/>
      <c r="G713" s="919"/>
      <c r="H713" s="1037"/>
      <c r="I713" s="93"/>
      <c r="J713" s="895"/>
      <c r="K713" s="295">
        <v>2018</v>
      </c>
      <c r="L713" s="548"/>
      <c r="M713" s="548"/>
      <c r="N713" s="548"/>
      <c r="O713" s="127">
        <f>COUNTA(Modificaciones!I699,Modificaciones!K699,Modificaciones!M699,Modificaciones!O699)</f>
        <v>0</v>
      </c>
      <c r="P713" s="128">
        <f>VLOOKUP(E713,Modificaciones!$B$7:$Q$900,16,0)</f>
        <v>0</v>
      </c>
      <c r="Q713" s="129">
        <f>COUNTA(Modificaciones!S713,Modificaciones!U713,Modificaciones!W713,Modificaciones!Y713)</f>
        <v>0</v>
      </c>
      <c r="R713" s="130" t="str">
        <f>IF(Modificaciones!Z713=0,"",VLOOKUP(E713,Modificaciones!$B$7:$AA$500,25,0))</f>
        <v/>
      </c>
      <c r="S713" s="131" t="str">
        <f>IF(Modificaciones!AA713=0,"",VLOOKUP(E713,Modificaciones!$B$7:$AA$500,26,0))</f>
        <v/>
      </c>
      <c r="T713" s="881">
        <f t="shared" si="158"/>
        <v>0</v>
      </c>
      <c r="U713" s="62">
        <f t="shared" si="159"/>
        <v>0</v>
      </c>
      <c r="V713" s="172">
        <f>VLOOKUP(E713,Modificaciones!$B$7:$AU$900,46,0)</f>
        <v>0</v>
      </c>
      <c r="W713" s="93">
        <f t="shared" si="160"/>
        <v>0</v>
      </c>
      <c r="X713" s="309"/>
      <c r="Y713" s="878" t="e">
        <f t="shared" si="161"/>
        <v>#DIV/0!</v>
      </c>
      <c r="Z713" s="42" t="e">
        <f t="shared" ca="1" si="162"/>
        <v>#DIV/0!</v>
      </c>
      <c r="AA713" s="43" t="e">
        <f t="shared" ca="1" si="163"/>
        <v>#DIV/0!</v>
      </c>
      <c r="AB713" s="202" t="e">
        <f t="shared" ca="1" si="164"/>
        <v>#DIV/0!</v>
      </c>
      <c r="AC713" s="44" t="e">
        <f t="shared" si="165"/>
        <v>#DIV/0!</v>
      </c>
      <c r="AD713" s="894"/>
      <c r="AE713" s="897"/>
      <c r="AF713" s="897"/>
      <c r="AG713" s="894"/>
      <c r="AH713" s="894"/>
      <c r="AI713" s="894"/>
      <c r="AJ713" s="305" t="s">
        <v>2845</v>
      </c>
      <c r="AK713" s="181" t="str">
        <f t="shared" ca="1" si="166"/>
        <v>TERMINO</v>
      </c>
      <c r="AL713" s="443"/>
      <c r="AM713" s="435"/>
      <c r="AN713" s="872" t="str">
        <f>IFERROR(VLOOKUP(E713,'liquidaciones '!$B$2:$C$1048576,2,0),"NO")</f>
        <v>NO</v>
      </c>
      <c r="AO713" s="972" t="str">
        <f>IFERROR(VLOOKUP(E713,'liquidaciones '!$B$2:$I$1048576,8,0),"")</f>
        <v/>
      </c>
      <c r="AP713" s="435"/>
      <c r="AQ713" s="435"/>
      <c r="AR713" s="1060"/>
      <c r="AS713" s="435"/>
      <c r="AT713" s="995"/>
    </row>
    <row r="714" spans="3:46" x14ac:dyDescent="0.25">
      <c r="C714" s="893"/>
      <c r="D714" s="893"/>
      <c r="E714" s="894"/>
      <c r="F714" s="443"/>
      <c r="G714" s="919"/>
      <c r="H714" s="1037"/>
      <c r="I714" s="93"/>
      <c r="J714" s="895"/>
      <c r="K714" s="295">
        <v>2018</v>
      </c>
      <c r="L714" s="548"/>
      <c r="M714" s="548"/>
      <c r="N714" s="548"/>
      <c r="O714" s="127">
        <f>COUNTA(Modificaciones!I700,Modificaciones!K700,Modificaciones!M700,Modificaciones!O700)</f>
        <v>0</v>
      </c>
      <c r="P714" s="128">
        <f>VLOOKUP(E714,Modificaciones!$B$7:$Q$900,16,0)</f>
        <v>0</v>
      </c>
      <c r="Q714" s="129">
        <f>COUNTA(Modificaciones!S714,Modificaciones!U714,Modificaciones!W714,Modificaciones!Y714)</f>
        <v>0</v>
      </c>
      <c r="R714" s="130" t="str">
        <f>IF(Modificaciones!Z714=0,"",VLOOKUP(E714,Modificaciones!$B$7:$AA$500,25,0))</f>
        <v/>
      </c>
      <c r="S714" s="131" t="str">
        <f>IF(Modificaciones!AA714=0,"",VLOOKUP(E714,Modificaciones!$B$7:$AA$500,26,0))</f>
        <v/>
      </c>
      <c r="T714" s="881">
        <f t="shared" si="158"/>
        <v>0</v>
      </c>
      <c r="U714" s="62">
        <f t="shared" si="159"/>
        <v>0</v>
      </c>
      <c r="V714" s="172">
        <f>VLOOKUP(E714,Modificaciones!$B$7:$AU$900,46,0)</f>
        <v>0</v>
      </c>
      <c r="W714" s="93">
        <f t="shared" si="160"/>
        <v>0</v>
      </c>
      <c r="X714" s="309"/>
      <c r="Y714" s="878" t="e">
        <f t="shared" si="161"/>
        <v>#DIV/0!</v>
      </c>
      <c r="Z714" s="42" t="e">
        <f t="shared" ca="1" si="162"/>
        <v>#DIV/0!</v>
      </c>
      <c r="AA714" s="43" t="e">
        <f t="shared" ca="1" si="163"/>
        <v>#DIV/0!</v>
      </c>
      <c r="AB714" s="202" t="e">
        <f t="shared" ca="1" si="164"/>
        <v>#DIV/0!</v>
      </c>
      <c r="AC714" s="44" t="e">
        <f t="shared" si="165"/>
        <v>#DIV/0!</v>
      </c>
      <c r="AD714" s="894"/>
      <c r="AE714" s="897"/>
      <c r="AF714" s="897"/>
      <c r="AG714" s="894"/>
      <c r="AH714" s="894"/>
      <c r="AI714" s="894"/>
      <c r="AJ714" s="305" t="s">
        <v>2845</v>
      </c>
      <c r="AK714" s="181" t="str">
        <f t="shared" ca="1" si="166"/>
        <v>TERMINO</v>
      </c>
      <c r="AL714" s="443"/>
      <c r="AM714" s="435"/>
      <c r="AN714" s="872" t="str">
        <f>IFERROR(VLOOKUP(E714,'liquidaciones '!$B$2:$C$1048576,2,0),"NO")</f>
        <v>NO</v>
      </c>
      <c r="AO714" s="972" t="str">
        <f>IFERROR(VLOOKUP(E714,'liquidaciones '!$B$2:$I$1048576,8,0),"")</f>
        <v/>
      </c>
      <c r="AP714" s="435"/>
      <c r="AQ714" s="435"/>
      <c r="AR714" s="1060"/>
      <c r="AS714" s="435"/>
      <c r="AT714" s="995"/>
    </row>
    <row r="715" spans="3:46" x14ac:dyDescent="0.25">
      <c r="C715" s="893"/>
      <c r="D715" s="893"/>
      <c r="E715" s="894"/>
      <c r="F715" s="443"/>
      <c r="G715" s="919"/>
      <c r="H715" s="1037"/>
      <c r="I715" s="93"/>
      <c r="J715" s="895"/>
      <c r="K715" s="295">
        <v>2018</v>
      </c>
      <c r="L715" s="548"/>
      <c r="M715" s="548"/>
      <c r="N715" s="548"/>
      <c r="O715" s="127">
        <f>COUNTA(Modificaciones!I701,Modificaciones!K701,Modificaciones!M701,Modificaciones!O701)</f>
        <v>0</v>
      </c>
      <c r="P715" s="128">
        <f>VLOOKUP(E715,Modificaciones!$B$7:$Q$900,16,0)</f>
        <v>0</v>
      </c>
      <c r="Q715" s="129">
        <f>COUNTA(Modificaciones!S715,Modificaciones!U715,Modificaciones!W715,Modificaciones!Y715)</f>
        <v>0</v>
      </c>
      <c r="R715" s="130" t="str">
        <f>IF(Modificaciones!Z715=0,"",VLOOKUP(E715,Modificaciones!$B$7:$AA$500,25,0))</f>
        <v/>
      </c>
      <c r="S715" s="131" t="str">
        <f>IF(Modificaciones!AA715=0,"",VLOOKUP(E715,Modificaciones!$B$7:$AA$500,26,0))</f>
        <v/>
      </c>
      <c r="T715" s="881">
        <f t="shared" si="158"/>
        <v>0</v>
      </c>
      <c r="U715" s="62">
        <f t="shared" si="159"/>
        <v>0</v>
      </c>
      <c r="V715" s="172">
        <f>VLOOKUP(E715,Modificaciones!$B$7:$AU$900,46,0)</f>
        <v>0</v>
      </c>
      <c r="W715" s="93">
        <f t="shared" si="160"/>
        <v>0</v>
      </c>
      <c r="X715" s="309"/>
      <c r="Y715" s="878" t="e">
        <f t="shared" si="161"/>
        <v>#DIV/0!</v>
      </c>
      <c r="Z715" s="42" t="e">
        <f t="shared" ca="1" si="162"/>
        <v>#DIV/0!</v>
      </c>
      <c r="AA715" s="43" t="e">
        <f t="shared" ca="1" si="163"/>
        <v>#DIV/0!</v>
      </c>
      <c r="AB715" s="202" t="e">
        <f t="shared" ca="1" si="164"/>
        <v>#DIV/0!</v>
      </c>
      <c r="AC715" s="44" t="e">
        <f t="shared" si="165"/>
        <v>#DIV/0!</v>
      </c>
      <c r="AD715" s="894"/>
      <c r="AE715" s="897"/>
      <c r="AF715" s="897"/>
      <c r="AG715" s="894"/>
      <c r="AH715" s="894"/>
      <c r="AI715" s="894"/>
      <c r="AJ715" s="305" t="s">
        <v>2845</v>
      </c>
      <c r="AK715" s="181" t="str">
        <f t="shared" ca="1" si="166"/>
        <v>TERMINO</v>
      </c>
      <c r="AL715" s="443"/>
      <c r="AM715" s="435"/>
      <c r="AN715" s="872" t="str">
        <f>IFERROR(VLOOKUP(E715,'liquidaciones '!$B$2:$C$1048576,2,0),"NO")</f>
        <v>NO</v>
      </c>
      <c r="AO715" s="972" t="str">
        <f>IFERROR(VLOOKUP(E715,'liquidaciones '!$B$2:$I$1048576,8,0),"")</f>
        <v/>
      </c>
      <c r="AP715" s="435"/>
      <c r="AQ715" s="435"/>
      <c r="AR715" s="1060"/>
      <c r="AS715" s="435"/>
      <c r="AT715" s="995"/>
    </row>
    <row r="1048576" spans="24:39" x14ac:dyDescent="0.25">
      <c r="X1048576" s="309"/>
      <c r="AH1048576" s="281"/>
      <c r="AK1048576" s="921"/>
      <c r="AL1048576" s="310"/>
      <c r="AM1048576" s="176"/>
    </row>
  </sheetData>
  <sheetProtection autoFilter="0" pivotTables="0"/>
  <autoFilter ref="A6:AZ691"/>
  <sortState ref="E223:L230">
    <sortCondition ref="E223:E230"/>
  </sortState>
  <mergeCells count="5">
    <mergeCell ref="H2:Y2"/>
    <mergeCell ref="H3:Y3"/>
    <mergeCell ref="O5:S5"/>
    <mergeCell ref="AM2:AR4"/>
    <mergeCell ref="V5:AC5"/>
  </mergeCells>
  <conditionalFormatting sqref="Y7:Y410 Y421:Y422 Y437:Y456 Y458 Y461:Y600">
    <cfRule type="cellIs" dxfId="585" priority="520" operator="equal">
      <formula>$AX$7</formula>
    </cfRule>
    <cfRule type="cellIs" dxfId="584" priority="521" operator="equal">
      <formula>$AX$7</formula>
    </cfRule>
  </conditionalFormatting>
  <conditionalFormatting sqref="AC7:AD270 AC271:AC410 AC421:AC422 AC455:AC456 AC460:AC600">
    <cfRule type="cellIs" dxfId="583" priority="519" operator="equal">
      <formula>$AY$7</formula>
    </cfRule>
  </conditionalFormatting>
  <conditionalFormatting sqref="AB7:AB410 AB421:AB422">
    <cfRule type="iconSet" priority="654">
      <iconSet iconSet="3Symbols">
        <cfvo type="percent" val="0"/>
        <cfvo type="num" val="20"/>
        <cfvo type="num" val="60"/>
      </iconSet>
    </cfRule>
    <cfRule type="iconSet" priority="655">
      <iconSet iconSet="3Symbols">
        <cfvo type="percent" val="0"/>
        <cfvo type="percent" val="33"/>
        <cfvo type="percent" val="67"/>
      </iconSet>
    </cfRule>
  </conditionalFormatting>
  <conditionalFormatting sqref="Y411:Y420">
    <cfRule type="cellIs" dxfId="582" priority="503" operator="equal">
      <formula>$AX$7</formula>
    </cfRule>
    <cfRule type="cellIs" dxfId="581" priority="504" operator="equal">
      <formula>$AX$7</formula>
    </cfRule>
  </conditionalFormatting>
  <conditionalFormatting sqref="AC411:AC420">
    <cfRule type="cellIs" dxfId="580" priority="502" operator="equal">
      <formula>$AY$7</formula>
    </cfRule>
  </conditionalFormatting>
  <conditionalFormatting sqref="AB411:AB420">
    <cfRule type="iconSet" priority="505">
      <iconSet iconSet="3Symbols">
        <cfvo type="percent" val="0"/>
        <cfvo type="num" val="20"/>
        <cfvo type="num" val="60"/>
      </iconSet>
    </cfRule>
    <cfRule type="iconSet" priority="506">
      <iconSet iconSet="3Symbols">
        <cfvo type="percent" val="0"/>
        <cfvo type="percent" val="33"/>
        <cfvo type="percent" val="67"/>
      </iconSet>
    </cfRule>
  </conditionalFormatting>
  <conditionalFormatting sqref="Y425:Y426">
    <cfRule type="cellIs" dxfId="579" priority="494" operator="equal">
      <formula>$AX$7</formula>
    </cfRule>
    <cfRule type="cellIs" dxfId="578" priority="495" operator="equal">
      <formula>$AX$7</formula>
    </cfRule>
  </conditionalFormatting>
  <conditionalFormatting sqref="AC425:AC426">
    <cfRule type="cellIs" dxfId="577" priority="493" operator="equal">
      <formula>$AY$7</formula>
    </cfRule>
  </conditionalFormatting>
  <conditionalFormatting sqref="AB425:AB426">
    <cfRule type="iconSet" priority="496">
      <iconSet iconSet="3Symbols">
        <cfvo type="percent" val="0"/>
        <cfvo type="num" val="20"/>
        <cfvo type="num" val="60"/>
      </iconSet>
    </cfRule>
    <cfRule type="iconSet" priority="497">
      <iconSet iconSet="3Symbols">
        <cfvo type="percent" val="0"/>
        <cfvo type="percent" val="33"/>
        <cfvo type="percent" val="67"/>
      </iconSet>
    </cfRule>
  </conditionalFormatting>
  <conditionalFormatting sqref="Y423:Y424">
    <cfRule type="cellIs" dxfId="576" priority="483" operator="equal">
      <formula>$AX$7</formula>
    </cfRule>
    <cfRule type="cellIs" dxfId="575" priority="484" operator="equal">
      <formula>$AX$7</formula>
    </cfRule>
  </conditionalFormatting>
  <conditionalFormatting sqref="AC423:AC424">
    <cfRule type="cellIs" dxfId="574" priority="482" operator="equal">
      <formula>$AY$7</formula>
    </cfRule>
  </conditionalFormatting>
  <conditionalFormatting sqref="AB423:AB424">
    <cfRule type="iconSet" priority="485">
      <iconSet iconSet="3Symbols">
        <cfvo type="percent" val="0"/>
        <cfvo type="num" val="20"/>
        <cfvo type="num" val="60"/>
      </iconSet>
    </cfRule>
    <cfRule type="iconSet" priority="486">
      <iconSet iconSet="3Symbols">
        <cfvo type="percent" val="0"/>
        <cfvo type="percent" val="33"/>
        <cfvo type="percent" val="67"/>
      </iconSet>
    </cfRule>
  </conditionalFormatting>
  <conditionalFormatting sqref="Y429:Y430">
    <cfRule type="cellIs" dxfId="573" priority="474" operator="equal">
      <formula>$AX$7</formula>
    </cfRule>
    <cfRule type="cellIs" dxfId="572" priority="475" operator="equal">
      <formula>$AX$7</formula>
    </cfRule>
  </conditionalFormatting>
  <conditionalFormatting sqref="AC429:AC430">
    <cfRule type="cellIs" dxfId="571" priority="473" operator="equal">
      <formula>$AY$7</formula>
    </cfRule>
  </conditionalFormatting>
  <conditionalFormatting sqref="AB429:AB430">
    <cfRule type="iconSet" priority="476">
      <iconSet iconSet="3Symbols">
        <cfvo type="percent" val="0"/>
        <cfvo type="num" val="20"/>
        <cfvo type="num" val="60"/>
      </iconSet>
    </cfRule>
    <cfRule type="iconSet" priority="477">
      <iconSet iconSet="3Symbols">
        <cfvo type="percent" val="0"/>
        <cfvo type="percent" val="33"/>
        <cfvo type="percent" val="67"/>
      </iconSet>
    </cfRule>
  </conditionalFormatting>
  <conditionalFormatting sqref="Y427:Y428">
    <cfRule type="cellIs" dxfId="570" priority="463" operator="equal">
      <formula>$AX$7</formula>
    </cfRule>
    <cfRule type="cellIs" dxfId="569" priority="464" operator="equal">
      <formula>$AX$7</formula>
    </cfRule>
  </conditionalFormatting>
  <conditionalFormatting sqref="AC427:AC428">
    <cfRule type="cellIs" dxfId="568" priority="462" operator="equal">
      <formula>$AY$7</formula>
    </cfRule>
  </conditionalFormatting>
  <conditionalFormatting sqref="AB427:AB428">
    <cfRule type="iconSet" priority="465">
      <iconSet iconSet="3Symbols">
        <cfvo type="percent" val="0"/>
        <cfvo type="num" val="20"/>
        <cfvo type="num" val="60"/>
      </iconSet>
    </cfRule>
    <cfRule type="iconSet" priority="466">
      <iconSet iconSet="3Symbols">
        <cfvo type="percent" val="0"/>
        <cfvo type="percent" val="33"/>
        <cfvo type="percent" val="67"/>
      </iconSet>
    </cfRule>
  </conditionalFormatting>
  <conditionalFormatting sqref="Y433:Y434">
    <cfRule type="cellIs" dxfId="567" priority="454" operator="equal">
      <formula>$AX$7</formula>
    </cfRule>
    <cfRule type="cellIs" dxfId="566" priority="455" operator="equal">
      <formula>$AX$7</formula>
    </cfRule>
  </conditionalFormatting>
  <conditionalFormatting sqref="AC433:AC434">
    <cfRule type="cellIs" dxfId="565" priority="453" operator="equal">
      <formula>$AY$7</formula>
    </cfRule>
  </conditionalFormatting>
  <conditionalFormatting sqref="AB433:AB434">
    <cfRule type="iconSet" priority="456">
      <iconSet iconSet="3Symbols">
        <cfvo type="percent" val="0"/>
        <cfvo type="num" val="20"/>
        <cfvo type="num" val="60"/>
      </iconSet>
    </cfRule>
    <cfRule type="iconSet" priority="457">
      <iconSet iconSet="3Symbols">
        <cfvo type="percent" val="0"/>
        <cfvo type="percent" val="33"/>
        <cfvo type="percent" val="67"/>
      </iconSet>
    </cfRule>
  </conditionalFormatting>
  <conditionalFormatting sqref="Y431:Y432">
    <cfRule type="cellIs" dxfId="564" priority="443" operator="equal">
      <formula>$AX$7</formula>
    </cfRule>
    <cfRule type="cellIs" dxfId="563" priority="444" operator="equal">
      <formula>$AX$7</formula>
    </cfRule>
  </conditionalFormatting>
  <conditionalFormatting sqref="AC431:AC432">
    <cfRule type="cellIs" dxfId="562" priority="442" operator="equal">
      <formula>$AY$7</formula>
    </cfRule>
  </conditionalFormatting>
  <conditionalFormatting sqref="AB431:AB432">
    <cfRule type="iconSet" priority="445">
      <iconSet iconSet="3Symbols">
        <cfvo type="percent" val="0"/>
        <cfvo type="num" val="20"/>
        <cfvo type="num" val="60"/>
      </iconSet>
    </cfRule>
    <cfRule type="iconSet" priority="446">
      <iconSet iconSet="3Symbols">
        <cfvo type="percent" val="0"/>
        <cfvo type="percent" val="33"/>
        <cfvo type="percent" val="67"/>
      </iconSet>
    </cfRule>
  </conditionalFormatting>
  <conditionalFormatting sqref="Y435:Y436">
    <cfRule type="cellIs" dxfId="561" priority="434" operator="equal">
      <formula>$AX$7</formula>
    </cfRule>
    <cfRule type="cellIs" dxfId="560" priority="435" operator="equal">
      <formula>$AX$7</formula>
    </cfRule>
  </conditionalFormatting>
  <conditionalFormatting sqref="AC435:AC436">
    <cfRule type="cellIs" dxfId="559" priority="433" operator="equal">
      <formula>$AY$7</formula>
    </cfRule>
  </conditionalFormatting>
  <conditionalFormatting sqref="AB435:AB436">
    <cfRule type="iconSet" priority="436">
      <iconSet iconSet="3Symbols">
        <cfvo type="percent" val="0"/>
        <cfvo type="num" val="20"/>
        <cfvo type="num" val="60"/>
      </iconSet>
    </cfRule>
    <cfRule type="iconSet" priority="437">
      <iconSet iconSet="3Symbols">
        <cfvo type="percent" val="0"/>
        <cfvo type="percent" val="33"/>
        <cfvo type="percent" val="67"/>
      </iconSet>
    </cfRule>
  </conditionalFormatting>
  <conditionalFormatting sqref="AC439:AC440">
    <cfRule type="cellIs" dxfId="558" priority="422" operator="equal">
      <formula>$AY$7</formula>
    </cfRule>
  </conditionalFormatting>
  <conditionalFormatting sqref="AC437:AC438">
    <cfRule type="cellIs" dxfId="557" priority="411" operator="equal">
      <formula>$AY$7</formula>
    </cfRule>
  </conditionalFormatting>
  <conditionalFormatting sqref="AB437:AB600">
    <cfRule type="iconSet" priority="414">
      <iconSet iconSet="3Symbols">
        <cfvo type="percent" val="0"/>
        <cfvo type="num" val="20"/>
        <cfvo type="num" val="60"/>
      </iconSet>
    </cfRule>
    <cfRule type="iconSet" priority="415">
      <iconSet iconSet="3Symbols">
        <cfvo type="percent" val="0"/>
        <cfvo type="percent" val="33"/>
        <cfvo type="percent" val="67"/>
      </iconSet>
    </cfRule>
  </conditionalFormatting>
  <conditionalFormatting sqref="AC441:AC442">
    <cfRule type="cellIs" dxfId="556" priority="402" operator="equal">
      <formula>$AY$7</formula>
    </cfRule>
  </conditionalFormatting>
  <conditionalFormatting sqref="AC445:AC446">
    <cfRule type="cellIs" dxfId="555" priority="391" operator="equal">
      <formula>$AY$7</formula>
    </cfRule>
  </conditionalFormatting>
  <conditionalFormatting sqref="AC443:AC444">
    <cfRule type="cellIs" dxfId="554" priority="380" operator="equal">
      <formula>$AY$7</formula>
    </cfRule>
  </conditionalFormatting>
  <conditionalFormatting sqref="AC447:AC448">
    <cfRule type="cellIs" dxfId="553" priority="371" operator="equal">
      <formula>$AY$7</formula>
    </cfRule>
  </conditionalFormatting>
  <conditionalFormatting sqref="AC451:AC452">
    <cfRule type="cellIs" dxfId="552" priority="360" operator="equal">
      <formula>$AY$7</formula>
    </cfRule>
  </conditionalFormatting>
  <conditionalFormatting sqref="AC449:AC450">
    <cfRule type="cellIs" dxfId="551" priority="349" operator="equal">
      <formula>$AY$7</formula>
    </cfRule>
  </conditionalFormatting>
  <conditionalFormatting sqref="AC453:AC454">
    <cfRule type="cellIs" dxfId="550" priority="340" operator="equal">
      <formula>$AY$7</formula>
    </cfRule>
  </conditionalFormatting>
  <conditionalFormatting sqref="AC458">
    <cfRule type="cellIs" dxfId="549" priority="329" operator="equal">
      <formula>$AY$7</formula>
    </cfRule>
  </conditionalFormatting>
  <conditionalFormatting sqref="Y457">
    <cfRule type="cellIs" dxfId="548" priority="308" operator="equal">
      <formula>$AX$7</formula>
    </cfRule>
    <cfRule type="cellIs" dxfId="547" priority="309" operator="equal">
      <formula>$AX$7</formula>
    </cfRule>
  </conditionalFormatting>
  <conditionalFormatting sqref="AC457">
    <cfRule type="cellIs" dxfId="546" priority="301" operator="equal">
      <formula>$AY$7</formula>
    </cfRule>
  </conditionalFormatting>
  <conditionalFormatting sqref="Y459">
    <cfRule type="cellIs" dxfId="545" priority="297" operator="equal">
      <formula>$AX$7</formula>
    </cfRule>
    <cfRule type="cellIs" dxfId="544" priority="298" operator="equal">
      <formula>$AX$7</formula>
    </cfRule>
  </conditionalFormatting>
  <conditionalFormatting sqref="AC459">
    <cfRule type="cellIs" dxfId="543" priority="292" operator="equal">
      <formula>$AY$7</formula>
    </cfRule>
  </conditionalFormatting>
  <conditionalFormatting sqref="Y460">
    <cfRule type="cellIs" dxfId="542" priority="288" operator="equal">
      <formula>$AX$7</formula>
    </cfRule>
    <cfRule type="cellIs" dxfId="541" priority="289" operator="equal">
      <formula>$AX$7</formula>
    </cfRule>
  </conditionalFormatting>
  <conditionalFormatting sqref="AN7:AO600">
    <cfRule type="cellIs" dxfId="540" priority="242" operator="equal">
      <formula>"NO"</formula>
    </cfRule>
    <cfRule type="cellIs" dxfId="539" priority="243" operator="equal">
      <formula>"NO"</formula>
    </cfRule>
    <cfRule type="cellIs" dxfId="538" priority="244" operator="equal">
      <formula>"NO"</formula>
    </cfRule>
    <cfRule type="cellIs" dxfId="537" priority="245" operator="equal">
      <formula>"SI"</formula>
    </cfRule>
  </conditionalFormatting>
  <conditionalFormatting sqref="AN7:AO600">
    <cfRule type="cellIs" dxfId="536" priority="241" operator="equal">
      <formula>"NO"</formula>
    </cfRule>
  </conditionalFormatting>
  <conditionalFormatting sqref="AN115:AO600">
    <cfRule type="containsText" dxfId="535" priority="234" operator="containsText" text="SI">
      <formula>NOT(ISERROR(SEARCH("SI",AN115)))</formula>
    </cfRule>
  </conditionalFormatting>
  <conditionalFormatting sqref="AN7:AO600">
    <cfRule type="cellIs" dxfId="534" priority="232" operator="equal">
      <formula>"SI"</formula>
    </cfRule>
  </conditionalFormatting>
  <conditionalFormatting sqref="E7:E600 E716:E1048576">
    <cfRule type="expression" dxfId="533" priority="221">
      <formula>AN7="DEVUELTO"</formula>
    </cfRule>
    <cfRule type="expression" dxfId="532" priority="222">
      <formula>AN7="LIQUIDADO"</formula>
    </cfRule>
    <cfRule type="expression" dxfId="531" priority="223">
      <formula>AN7="EN TRÁMITE"</formula>
    </cfRule>
    <cfRule type="expression" dxfId="530" priority="224">
      <formula>T7&gt;=$F$3</formula>
    </cfRule>
    <cfRule type="expression" dxfId="529" priority="225">
      <formula>AN7="NO"</formula>
    </cfRule>
  </conditionalFormatting>
  <conditionalFormatting sqref="Y601:Y645">
    <cfRule type="cellIs" dxfId="528" priority="209" operator="equal">
      <formula>$AX$7</formula>
    </cfRule>
    <cfRule type="cellIs" dxfId="527" priority="210" operator="equal">
      <formula>$AX$7</formula>
    </cfRule>
  </conditionalFormatting>
  <conditionalFormatting sqref="AC601:AC645">
    <cfRule type="cellIs" dxfId="526" priority="208" operator="equal">
      <formula>$AY$7</formula>
    </cfRule>
  </conditionalFormatting>
  <conditionalFormatting sqref="AB601:AB645">
    <cfRule type="iconSet" priority="202">
      <iconSet iconSet="3Symbols">
        <cfvo type="percent" val="0"/>
        <cfvo type="num" val="20"/>
        <cfvo type="num" val="60"/>
      </iconSet>
    </cfRule>
    <cfRule type="iconSet" priority="203">
      <iconSet iconSet="3Symbols">
        <cfvo type="percent" val="0"/>
        <cfvo type="percent" val="33"/>
        <cfvo type="percent" val="67"/>
      </iconSet>
    </cfRule>
  </conditionalFormatting>
  <conditionalFormatting sqref="AN601:AO645">
    <cfRule type="cellIs" dxfId="525" priority="198" operator="equal">
      <formula>"NO"</formula>
    </cfRule>
    <cfRule type="cellIs" dxfId="524" priority="199" operator="equal">
      <formula>"NO"</formula>
    </cfRule>
    <cfRule type="cellIs" dxfId="523" priority="200" operator="equal">
      <formula>"NO"</formula>
    </cfRule>
    <cfRule type="cellIs" dxfId="522" priority="201" operator="equal">
      <formula>"SI"</formula>
    </cfRule>
  </conditionalFormatting>
  <conditionalFormatting sqref="AN601:AO645">
    <cfRule type="cellIs" dxfId="521" priority="197" operator="equal">
      <formula>"NO"</formula>
    </cfRule>
  </conditionalFormatting>
  <conditionalFormatting sqref="AN601:AO645">
    <cfRule type="containsText" dxfId="520" priority="196" operator="containsText" text="SI">
      <formula>NOT(ISERROR(SEARCH("SI",AN601)))</formula>
    </cfRule>
  </conditionalFormatting>
  <conditionalFormatting sqref="AN601:AO645">
    <cfRule type="cellIs" dxfId="519" priority="195" operator="equal">
      <formula>"SI"</formula>
    </cfRule>
  </conditionalFormatting>
  <conditionalFormatting sqref="E601:E645">
    <cfRule type="expression" dxfId="518" priority="190">
      <formula>AN601="DEVUELTO"</formula>
    </cfRule>
    <cfRule type="expression" dxfId="517" priority="191">
      <formula>AN601="LIQUIDADO"</formula>
    </cfRule>
    <cfRule type="expression" dxfId="516" priority="192">
      <formula>AN601="EN TRÁMITE"</formula>
    </cfRule>
    <cfRule type="expression" dxfId="515" priority="193">
      <formula>T601&gt;=$F$3</formula>
    </cfRule>
    <cfRule type="expression" dxfId="514" priority="194">
      <formula>AN601="NO"</formula>
    </cfRule>
  </conditionalFormatting>
  <conditionalFormatting sqref="Y646:Y675">
    <cfRule type="cellIs" dxfId="513" priority="163" operator="equal">
      <formula>$AX$7</formula>
    </cfRule>
    <cfRule type="cellIs" dxfId="512" priority="164" operator="equal">
      <formula>$AX$7</formula>
    </cfRule>
  </conditionalFormatting>
  <conditionalFormatting sqref="AC646:AC675">
    <cfRule type="cellIs" dxfId="511" priority="162" operator="equal">
      <formula>$AY$7</formula>
    </cfRule>
  </conditionalFormatting>
  <conditionalFormatting sqref="AB646:AB675">
    <cfRule type="iconSet" priority="156">
      <iconSet iconSet="3Symbols">
        <cfvo type="percent" val="0"/>
        <cfvo type="num" val="20"/>
        <cfvo type="num" val="60"/>
      </iconSet>
    </cfRule>
    <cfRule type="iconSet" priority="157">
      <iconSet iconSet="3Symbols">
        <cfvo type="percent" val="0"/>
        <cfvo type="percent" val="33"/>
        <cfvo type="percent" val="67"/>
      </iconSet>
    </cfRule>
  </conditionalFormatting>
  <conditionalFormatting sqref="AN646:AO675">
    <cfRule type="cellIs" dxfId="510" priority="152" operator="equal">
      <formula>"NO"</formula>
    </cfRule>
    <cfRule type="cellIs" dxfId="509" priority="153" operator="equal">
      <formula>"NO"</formula>
    </cfRule>
    <cfRule type="cellIs" dxfId="508" priority="154" operator="equal">
      <formula>"NO"</formula>
    </cfRule>
    <cfRule type="cellIs" dxfId="507" priority="155" operator="equal">
      <formula>"SI"</formula>
    </cfRule>
  </conditionalFormatting>
  <conditionalFormatting sqref="AN646:AO675">
    <cfRule type="cellIs" dxfId="506" priority="151" operator="equal">
      <formula>"NO"</formula>
    </cfRule>
  </conditionalFormatting>
  <conditionalFormatting sqref="AN646:AO675">
    <cfRule type="containsText" dxfId="505" priority="150" operator="containsText" text="SI">
      <formula>NOT(ISERROR(SEARCH("SI",AN646)))</formula>
    </cfRule>
  </conditionalFormatting>
  <conditionalFormatting sqref="AN646:AO675">
    <cfRule type="cellIs" dxfId="504" priority="149" operator="equal">
      <formula>"SI"</formula>
    </cfRule>
  </conditionalFormatting>
  <conditionalFormatting sqref="E646:E675">
    <cfRule type="expression" dxfId="503" priority="144">
      <formula>AN646="DEVUELTO"</formula>
    </cfRule>
    <cfRule type="expression" dxfId="502" priority="145">
      <formula>AN646="LIQUIDADO"</formula>
    </cfRule>
    <cfRule type="expression" dxfId="501" priority="146">
      <formula>AN646="EN TRÁMITE"</formula>
    </cfRule>
    <cfRule type="expression" dxfId="500" priority="147">
      <formula>T646&gt;=$F$3</formula>
    </cfRule>
    <cfRule type="expression" dxfId="499" priority="148">
      <formula>AN646="NO"</formula>
    </cfRule>
  </conditionalFormatting>
  <conditionalFormatting sqref="Y676:Y683">
    <cfRule type="cellIs" dxfId="498" priority="116" operator="equal">
      <formula>$AX$7</formula>
    </cfRule>
    <cfRule type="cellIs" dxfId="497" priority="117" operator="equal">
      <formula>$AX$7</formula>
    </cfRule>
  </conditionalFormatting>
  <conditionalFormatting sqref="AC676:AC683">
    <cfRule type="cellIs" dxfId="496" priority="115" operator="equal">
      <formula>$AY$7</formula>
    </cfRule>
  </conditionalFormatting>
  <conditionalFormatting sqref="AB676:AB683">
    <cfRule type="iconSet" priority="109">
      <iconSet iconSet="3Symbols">
        <cfvo type="percent" val="0"/>
        <cfvo type="num" val="20"/>
        <cfvo type="num" val="60"/>
      </iconSet>
    </cfRule>
    <cfRule type="iconSet" priority="110">
      <iconSet iconSet="3Symbols">
        <cfvo type="percent" val="0"/>
        <cfvo type="percent" val="33"/>
        <cfvo type="percent" val="67"/>
      </iconSet>
    </cfRule>
  </conditionalFormatting>
  <conditionalFormatting sqref="AN676:AO683">
    <cfRule type="cellIs" dxfId="495" priority="105" operator="equal">
      <formula>"NO"</formula>
    </cfRule>
    <cfRule type="cellIs" dxfId="494" priority="106" operator="equal">
      <formula>"NO"</formula>
    </cfRule>
    <cfRule type="cellIs" dxfId="493" priority="107" operator="equal">
      <formula>"NO"</formula>
    </cfRule>
    <cfRule type="cellIs" dxfId="492" priority="108" operator="equal">
      <formula>"SI"</formula>
    </cfRule>
  </conditionalFormatting>
  <conditionalFormatting sqref="AN676:AO683">
    <cfRule type="cellIs" dxfId="491" priority="104" operator="equal">
      <formula>"NO"</formula>
    </cfRule>
  </conditionalFormatting>
  <conditionalFormatting sqref="AN676:AO683">
    <cfRule type="containsText" dxfId="490" priority="103" operator="containsText" text="SI">
      <formula>NOT(ISERROR(SEARCH("SI",AN676)))</formula>
    </cfRule>
  </conditionalFormatting>
  <conditionalFormatting sqref="AN676:AO683">
    <cfRule type="cellIs" dxfId="489" priority="102" operator="equal">
      <formula>"SI"</formula>
    </cfRule>
  </conditionalFormatting>
  <conditionalFormatting sqref="E676:E683">
    <cfRule type="expression" dxfId="488" priority="97">
      <formula>AN676="DEVUELTO"</formula>
    </cfRule>
    <cfRule type="expression" dxfId="487" priority="98">
      <formula>AN676="LIQUIDADO"</formula>
    </cfRule>
    <cfRule type="expression" dxfId="486" priority="99">
      <formula>AN676="EN TRÁMITE"</formula>
    </cfRule>
    <cfRule type="expression" dxfId="485" priority="100">
      <formula>T676&gt;=$F$3</formula>
    </cfRule>
    <cfRule type="expression" dxfId="484" priority="101">
      <formula>AN676="NO"</formula>
    </cfRule>
  </conditionalFormatting>
  <conditionalFormatting sqref="Y684:Y691">
    <cfRule type="cellIs" dxfId="483" priority="95" operator="equal">
      <formula>$AX$7</formula>
    </cfRule>
    <cfRule type="cellIs" dxfId="482" priority="96" operator="equal">
      <formula>$AX$7</formula>
    </cfRule>
  </conditionalFormatting>
  <conditionalFormatting sqref="AC684:AC691">
    <cfRule type="cellIs" dxfId="481" priority="94" operator="equal">
      <formula>$AY$7</formula>
    </cfRule>
  </conditionalFormatting>
  <conditionalFormatting sqref="AB684:AB691">
    <cfRule type="iconSet" priority="88">
      <iconSet iconSet="3Symbols">
        <cfvo type="percent" val="0"/>
        <cfvo type="num" val="20"/>
        <cfvo type="num" val="60"/>
      </iconSet>
    </cfRule>
    <cfRule type="iconSet" priority="89">
      <iconSet iconSet="3Symbols">
        <cfvo type="percent" val="0"/>
        <cfvo type="percent" val="33"/>
        <cfvo type="percent" val="67"/>
      </iconSet>
    </cfRule>
  </conditionalFormatting>
  <conditionalFormatting sqref="AN684:AO691">
    <cfRule type="cellIs" dxfId="480" priority="84" operator="equal">
      <formula>"NO"</formula>
    </cfRule>
    <cfRule type="cellIs" dxfId="479" priority="85" operator="equal">
      <formula>"NO"</formula>
    </cfRule>
    <cfRule type="cellIs" dxfId="478" priority="86" operator="equal">
      <formula>"NO"</formula>
    </cfRule>
    <cfRule type="cellIs" dxfId="477" priority="87" operator="equal">
      <formula>"SI"</formula>
    </cfRule>
  </conditionalFormatting>
  <conditionalFormatting sqref="AN684:AO691">
    <cfRule type="cellIs" dxfId="476" priority="83" operator="equal">
      <formula>"NO"</formula>
    </cfRule>
  </conditionalFormatting>
  <conditionalFormatting sqref="AN684:AO691">
    <cfRule type="containsText" dxfId="475" priority="82" operator="containsText" text="SI">
      <formula>NOT(ISERROR(SEARCH("SI",AN684)))</formula>
    </cfRule>
  </conditionalFormatting>
  <conditionalFormatting sqref="AN684:AO691">
    <cfRule type="cellIs" dxfId="474" priority="81" operator="equal">
      <formula>"SI"</formula>
    </cfRule>
  </conditionalFormatting>
  <conditionalFormatting sqref="E684:E691">
    <cfRule type="expression" dxfId="473" priority="76">
      <formula>AN684="DEVUELTO"</formula>
    </cfRule>
    <cfRule type="expression" dxfId="472" priority="77">
      <formula>AN684="LIQUIDADO"</formula>
    </cfRule>
    <cfRule type="expression" dxfId="471" priority="78">
      <formula>AN684="EN TRÁMITE"</formula>
    </cfRule>
    <cfRule type="expression" dxfId="470" priority="79">
      <formula>T684&gt;=$F$3</formula>
    </cfRule>
    <cfRule type="expression" dxfId="469" priority="80">
      <formula>AN684="NO"</formula>
    </cfRule>
  </conditionalFormatting>
  <conditionalFormatting sqref="Y692:Y699">
    <cfRule type="cellIs" dxfId="468" priority="62" operator="equal">
      <formula>$AX$7</formula>
    </cfRule>
    <cfRule type="cellIs" dxfId="467" priority="63" operator="equal">
      <formula>$AX$7</formula>
    </cfRule>
  </conditionalFormatting>
  <conditionalFormatting sqref="AC692:AC699">
    <cfRule type="cellIs" dxfId="466" priority="61" operator="equal">
      <formula>$AY$7</formula>
    </cfRule>
  </conditionalFormatting>
  <conditionalFormatting sqref="AB692:AB699">
    <cfRule type="iconSet" priority="55">
      <iconSet iconSet="3Symbols">
        <cfvo type="percent" val="0"/>
        <cfvo type="num" val="20"/>
        <cfvo type="num" val="60"/>
      </iconSet>
    </cfRule>
    <cfRule type="iconSet" priority="56">
      <iconSet iconSet="3Symbols">
        <cfvo type="percent" val="0"/>
        <cfvo type="percent" val="33"/>
        <cfvo type="percent" val="67"/>
      </iconSet>
    </cfRule>
  </conditionalFormatting>
  <conditionalFormatting sqref="AN692:AO699">
    <cfRule type="cellIs" dxfId="465" priority="51" operator="equal">
      <formula>"NO"</formula>
    </cfRule>
    <cfRule type="cellIs" dxfId="464" priority="52" operator="equal">
      <formula>"NO"</formula>
    </cfRule>
    <cfRule type="cellIs" dxfId="463" priority="53" operator="equal">
      <formula>"NO"</formula>
    </cfRule>
    <cfRule type="cellIs" dxfId="462" priority="54" operator="equal">
      <formula>"SI"</formula>
    </cfRule>
  </conditionalFormatting>
  <conditionalFormatting sqref="AN692:AO699">
    <cfRule type="cellIs" dxfId="461" priority="50" operator="equal">
      <formula>"NO"</formula>
    </cfRule>
  </conditionalFormatting>
  <conditionalFormatting sqref="AN692:AO699">
    <cfRule type="containsText" dxfId="460" priority="49" operator="containsText" text="SI">
      <formula>NOT(ISERROR(SEARCH("SI",AN692)))</formula>
    </cfRule>
  </conditionalFormatting>
  <conditionalFormatting sqref="AN692:AO699">
    <cfRule type="cellIs" dxfId="459" priority="48" operator="equal">
      <formula>"SI"</formula>
    </cfRule>
  </conditionalFormatting>
  <conditionalFormatting sqref="E692:E699">
    <cfRule type="expression" dxfId="458" priority="43">
      <formula>AN692="DEVUELTO"</formula>
    </cfRule>
    <cfRule type="expression" dxfId="457" priority="44">
      <formula>AN692="LIQUIDADO"</formula>
    </cfRule>
    <cfRule type="expression" dxfId="456" priority="45">
      <formula>AN692="EN TRÁMITE"</formula>
    </cfRule>
    <cfRule type="expression" dxfId="455" priority="46">
      <formula>T692&gt;=$F$3</formula>
    </cfRule>
    <cfRule type="expression" dxfId="454" priority="47">
      <formula>AN692="NO"</formula>
    </cfRule>
  </conditionalFormatting>
  <conditionalFormatting sqref="Y700:Y707">
    <cfRule type="cellIs" dxfId="453" priority="41" operator="equal">
      <formula>$AX$7</formula>
    </cfRule>
    <cfRule type="cellIs" dxfId="452" priority="42" operator="equal">
      <formula>$AX$7</formula>
    </cfRule>
  </conditionalFormatting>
  <conditionalFormatting sqref="AC700:AC707">
    <cfRule type="cellIs" dxfId="451" priority="40" operator="equal">
      <formula>$AY$7</formula>
    </cfRule>
  </conditionalFormatting>
  <conditionalFormatting sqref="AB700:AB707">
    <cfRule type="iconSet" priority="34">
      <iconSet iconSet="3Symbols">
        <cfvo type="percent" val="0"/>
        <cfvo type="num" val="20"/>
        <cfvo type="num" val="60"/>
      </iconSet>
    </cfRule>
    <cfRule type="iconSet" priority="35">
      <iconSet iconSet="3Symbols">
        <cfvo type="percent" val="0"/>
        <cfvo type="percent" val="33"/>
        <cfvo type="percent" val="67"/>
      </iconSet>
    </cfRule>
  </conditionalFormatting>
  <conditionalFormatting sqref="AN700:AO707">
    <cfRule type="cellIs" dxfId="450" priority="30" operator="equal">
      <formula>"NO"</formula>
    </cfRule>
    <cfRule type="cellIs" dxfId="449" priority="31" operator="equal">
      <formula>"NO"</formula>
    </cfRule>
    <cfRule type="cellIs" dxfId="448" priority="32" operator="equal">
      <formula>"NO"</formula>
    </cfRule>
    <cfRule type="cellIs" dxfId="447" priority="33" operator="equal">
      <formula>"SI"</formula>
    </cfRule>
  </conditionalFormatting>
  <conditionalFormatting sqref="AN700:AO707">
    <cfRule type="cellIs" dxfId="446" priority="29" operator="equal">
      <formula>"NO"</formula>
    </cfRule>
  </conditionalFormatting>
  <conditionalFormatting sqref="AN700:AO707">
    <cfRule type="containsText" dxfId="445" priority="28" operator="containsText" text="SI">
      <formula>NOT(ISERROR(SEARCH("SI",AN700)))</formula>
    </cfRule>
  </conditionalFormatting>
  <conditionalFormatting sqref="AN700:AO707">
    <cfRule type="cellIs" dxfId="444" priority="27" operator="equal">
      <formula>"SI"</formula>
    </cfRule>
  </conditionalFormatting>
  <conditionalFormatting sqref="E700:E707">
    <cfRule type="expression" dxfId="443" priority="22">
      <formula>AN700="DEVUELTO"</formula>
    </cfRule>
    <cfRule type="expression" dxfId="442" priority="23">
      <formula>AN700="LIQUIDADO"</formula>
    </cfRule>
    <cfRule type="expression" dxfId="441" priority="24">
      <formula>AN700="EN TRÁMITE"</formula>
    </cfRule>
    <cfRule type="expression" dxfId="440" priority="25">
      <formula>T700&gt;=$F$3</formula>
    </cfRule>
    <cfRule type="expression" dxfId="439" priority="26">
      <formula>AN700="NO"</formula>
    </cfRule>
  </conditionalFormatting>
  <conditionalFormatting sqref="Y708:Y715">
    <cfRule type="cellIs" dxfId="438" priority="20" operator="equal">
      <formula>$AX$7</formula>
    </cfRule>
    <cfRule type="cellIs" dxfId="437" priority="21" operator="equal">
      <formula>$AX$7</formula>
    </cfRule>
  </conditionalFormatting>
  <conditionalFormatting sqref="AC708:AC715">
    <cfRule type="cellIs" dxfId="436" priority="19" operator="equal">
      <formula>$AY$7</formula>
    </cfRule>
  </conditionalFormatting>
  <conditionalFormatting sqref="AB708:AB715">
    <cfRule type="iconSet" priority="13">
      <iconSet iconSet="3Symbols">
        <cfvo type="percent" val="0"/>
        <cfvo type="num" val="20"/>
        <cfvo type="num" val="60"/>
      </iconSet>
    </cfRule>
    <cfRule type="iconSet" priority="14">
      <iconSet iconSet="3Symbols">
        <cfvo type="percent" val="0"/>
        <cfvo type="percent" val="33"/>
        <cfvo type="percent" val="67"/>
      </iconSet>
    </cfRule>
  </conditionalFormatting>
  <conditionalFormatting sqref="AN708:AO715">
    <cfRule type="cellIs" dxfId="435" priority="9" operator="equal">
      <formula>"NO"</formula>
    </cfRule>
    <cfRule type="cellIs" dxfId="434" priority="10" operator="equal">
      <formula>"NO"</formula>
    </cfRule>
    <cfRule type="cellIs" dxfId="433" priority="11" operator="equal">
      <formula>"NO"</formula>
    </cfRule>
    <cfRule type="cellIs" dxfId="432" priority="12" operator="equal">
      <formula>"SI"</formula>
    </cfRule>
  </conditionalFormatting>
  <conditionalFormatting sqref="AN708:AO715">
    <cfRule type="cellIs" dxfId="431" priority="8" operator="equal">
      <formula>"NO"</formula>
    </cfRule>
  </conditionalFormatting>
  <conditionalFormatting sqref="AN708:AO715">
    <cfRule type="containsText" dxfId="430" priority="7" operator="containsText" text="SI">
      <formula>NOT(ISERROR(SEARCH("SI",AN708)))</formula>
    </cfRule>
  </conditionalFormatting>
  <conditionalFormatting sqref="AN708:AO715">
    <cfRule type="cellIs" dxfId="429" priority="6" operator="equal">
      <formula>"SI"</formula>
    </cfRule>
  </conditionalFormatting>
  <conditionalFormatting sqref="E708:E715">
    <cfRule type="expression" dxfId="428" priority="1">
      <formula>AN708="DEVUELTO"</formula>
    </cfRule>
    <cfRule type="expression" dxfId="427" priority="2">
      <formula>AN708="LIQUIDADO"</formula>
    </cfRule>
    <cfRule type="expression" dxfId="426" priority="3">
      <formula>AN708="EN TRÁMITE"</formula>
    </cfRule>
    <cfRule type="expression" dxfId="425" priority="4">
      <formula>T708&gt;=$F$3</formula>
    </cfRule>
    <cfRule type="expression" dxfId="424" priority="5">
      <formula>AN708="NO"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AM648:AM649 AM651 AM653 AM658 AM660 AM667 AM669 AM671 AM675 AM680 AM682:AM683">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AG678 AG681">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L268" r:id="rId425"/>
    <hyperlink ref="J599" r:id="rId426"/>
    <hyperlink ref="J600" r:id="rId427"/>
    <hyperlink ref="J598" r:id="rId428"/>
    <hyperlink ref="J601" r:id="rId429"/>
    <hyperlink ref="J602" r:id="rId430"/>
    <hyperlink ref="J603" r:id="rId431"/>
    <hyperlink ref="J604" r:id="rId432"/>
    <hyperlink ref="J605" r:id="rId433"/>
    <hyperlink ref="J606" r:id="rId434"/>
    <hyperlink ref="J607" r:id="rId435"/>
    <hyperlink ref="J608" r:id="rId436"/>
    <hyperlink ref="J609" r:id="rId437"/>
    <hyperlink ref="J610" r:id="rId438"/>
    <hyperlink ref="J611" r:id="rId439"/>
    <hyperlink ref="J612" r:id="rId440"/>
    <hyperlink ref="J615" r:id="rId441"/>
    <hyperlink ref="J614" r:id="rId442"/>
    <hyperlink ref="J613" r:id="rId443"/>
    <hyperlink ref="J616" r:id="rId444"/>
    <hyperlink ref="J617" r:id="rId445"/>
    <hyperlink ref="J618" r:id="rId446"/>
    <hyperlink ref="J619" r:id="rId447"/>
    <hyperlink ref="J620" r:id="rId448"/>
    <hyperlink ref="J621" r:id="rId449"/>
    <hyperlink ref="J623" r:id="rId450"/>
    <hyperlink ref="J622" r:id="rId451"/>
    <hyperlink ref="J624" r:id="rId452"/>
    <hyperlink ref="J626" r:id="rId453"/>
    <hyperlink ref="J625" r:id="rId454"/>
    <hyperlink ref="J627" r:id="rId455"/>
    <hyperlink ref="J144" r:id="rId456"/>
    <hyperlink ref="J99" r:id="rId457"/>
    <hyperlink ref="J22" r:id="rId458"/>
    <hyperlink ref="J544" r:id="rId459"/>
    <hyperlink ref="J628" r:id="rId460"/>
    <hyperlink ref="J629" r:id="rId461"/>
    <hyperlink ref="J217" r:id="rId462"/>
    <hyperlink ref="J172" r:id="rId463"/>
    <hyperlink ref="J23" r:id="rId464"/>
    <hyperlink ref="J630" r:id="rId465"/>
    <hyperlink ref="J87" r:id="rId466"/>
    <hyperlink ref="J94" r:id="rId467"/>
    <hyperlink ref="J631" r:id="rId468"/>
    <hyperlink ref="J103" r:id="rId469"/>
    <hyperlink ref="J110" r:id="rId470"/>
    <hyperlink ref="J129" r:id="rId471"/>
    <hyperlink ref="J69" r:id="rId472"/>
    <hyperlink ref="J104" r:id="rId473"/>
    <hyperlink ref="J148" r:id="rId474"/>
    <hyperlink ref="J74" r:id="rId475"/>
    <hyperlink ref="J32" r:id="rId476"/>
    <hyperlink ref="J157" r:id="rId477"/>
    <hyperlink ref="J85" r:id="rId478"/>
    <hyperlink ref="J12" r:id="rId479"/>
    <hyperlink ref="J18" r:id="rId480"/>
    <hyperlink ref="J633" r:id="rId481"/>
    <hyperlink ref="J634" r:id="rId482"/>
    <hyperlink ref="J635" r:id="rId483"/>
    <hyperlink ref="J632" r:id="rId484"/>
    <hyperlink ref="J636" r:id="rId485"/>
    <hyperlink ref="J637" r:id="rId486"/>
    <hyperlink ref="J638" r:id="rId487"/>
    <hyperlink ref="J639" r:id="rId488"/>
    <hyperlink ref="J640" r:id="rId489"/>
    <hyperlink ref="J641" r:id="rId490"/>
    <hyperlink ref="J642" r:id="rId491"/>
    <hyperlink ref="J651" r:id="rId492"/>
    <hyperlink ref="J645" r:id="rId493"/>
    <hyperlink ref="J652" r:id="rId494"/>
    <hyperlink ref="J654" r:id="rId495"/>
    <hyperlink ref="J643" r:id="rId496"/>
    <hyperlink ref="J650" r:id="rId497"/>
    <hyperlink ref="J653" r:id="rId498"/>
    <hyperlink ref="J644" r:id="rId499"/>
    <hyperlink ref="J646" r:id="rId500"/>
    <hyperlink ref="J649" r:id="rId501"/>
    <hyperlink ref="J648" r:id="rId502"/>
    <hyperlink ref="J647" r:id="rId503"/>
    <hyperlink ref="J655" r:id="rId504"/>
    <hyperlink ref="J656" r:id="rId505"/>
    <hyperlink ref="J659" r:id="rId506"/>
    <hyperlink ref="J658" r:id="rId507"/>
    <hyperlink ref="J657" r:id="rId508"/>
    <hyperlink ref="J660" r:id="rId509"/>
    <hyperlink ref="J661" r:id="rId510"/>
    <hyperlink ref="J663" r:id="rId511"/>
    <hyperlink ref="J662" r:id="rId512"/>
    <hyperlink ref="J664" r:id="rId513"/>
    <hyperlink ref="J665" r:id="rId514"/>
    <hyperlink ref="J666" r:id="rId515"/>
    <hyperlink ref="J667" r:id="rId516"/>
    <hyperlink ref="J668" r:id="rId517"/>
    <hyperlink ref="J669" r:id="rId518"/>
    <hyperlink ref="J670" r:id="rId519"/>
    <hyperlink ref="J671" r:id="rId520"/>
    <hyperlink ref="J672" r:id="rId521"/>
    <hyperlink ref="J673" r:id="rId522"/>
    <hyperlink ref="J674" r:id="rId523"/>
    <hyperlink ref="J675" r:id="rId524"/>
    <hyperlink ref="J676" r:id="rId525"/>
    <hyperlink ref="J677" r:id="rId526"/>
    <hyperlink ref="J678" r:id="rId527"/>
    <hyperlink ref="J680" r:id="rId528"/>
    <hyperlink ref="J679" r:id="rId529"/>
    <hyperlink ref="J681" r:id="rId530"/>
    <hyperlink ref="J682" r:id="rId531"/>
    <hyperlink ref="J683" r:id="rId532"/>
    <hyperlink ref="J68" r:id="rId533"/>
    <hyperlink ref="J143" r:id="rId534"/>
    <hyperlink ref="J67" r:id="rId535"/>
    <hyperlink ref="J124" r:id="rId536" display=" 130209"/>
    <hyperlink ref="J49" r:id="rId537"/>
    <hyperlink ref="J167" r:id="rId538"/>
    <hyperlink ref="J36" r:id="rId539"/>
    <hyperlink ref="J51" r:id="rId540"/>
    <hyperlink ref="J44" r:id="rId541"/>
    <hyperlink ref="J27" r:id="rId542"/>
  </hyperlinks>
  <pageMargins left="0.31496062992125984" right="0.31496062992125984" top="0.74803149606299213" bottom="0.74803149606299213" header="0.31496062992125984" footer="0.31496062992125984"/>
  <pageSetup scale="75" orientation="landscape" r:id="rId543"/>
  <drawing r:id="rId544"/>
  <legacyDrawing r:id="rId545"/>
  <extLst>
    <ext xmlns:x14="http://schemas.microsoft.com/office/spreadsheetml/2009/9/main" uri="{78C0D931-6437-407d-A8EE-F0AAD7539E65}">
      <x14:conditionalFormattings>
        <x14:conditionalFormatting xmlns:xm="http://schemas.microsoft.com/office/excel/2006/main">
          <x14:cfRule type="containsText" priority="518"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517"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515" operator="containsText" id="{8F57F5D0-8850-4230-949E-FFCAA930A9C1}">
            <xm:f>NOT(ISERROR(SEARCH($AZ$8,AQ7)))</xm:f>
            <xm:f>$AZ$8</xm:f>
            <x14:dxf>
              <font>
                <b/>
                <i val="0"/>
                <color rgb="FFFF0000"/>
              </font>
            </x14:dxf>
          </x14:cfRule>
          <x14:cfRule type="containsText" priority="516"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666"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668"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501"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500"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507"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508"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492"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491"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489" operator="containsText" id="{08835A8B-8F33-4E2F-84F3-0C6229B664A7}">
            <xm:f>NOT(ISERROR(SEARCH($AZ$8,AQ423)))</xm:f>
            <xm:f>$AZ$8</xm:f>
            <x14:dxf>
              <font>
                <b/>
                <i val="0"/>
                <color rgb="FFFF0000"/>
              </font>
            </x14:dxf>
          </x14:cfRule>
          <x14:cfRule type="containsText" priority="490"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498"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499"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481"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480"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487"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488"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472"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471"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469" operator="containsText" id="{4150BDEB-E016-4AA1-93AB-C80A820FF8E9}">
            <xm:f>NOT(ISERROR(SEARCH($AZ$8,AQ427)))</xm:f>
            <xm:f>$AZ$8</xm:f>
            <x14:dxf>
              <font>
                <b/>
                <i val="0"/>
                <color rgb="FFFF0000"/>
              </font>
            </x14:dxf>
          </x14:cfRule>
          <x14:cfRule type="containsText" priority="470"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478"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479"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461"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460"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467"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468"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452"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451"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449" operator="containsText" id="{829CC1C1-22FF-409C-83D0-D07EE688D129}">
            <xm:f>NOT(ISERROR(SEARCH($AZ$8,AQ431)))</xm:f>
            <xm:f>$AZ$8</xm:f>
            <x14:dxf>
              <font>
                <b/>
                <i val="0"/>
                <color rgb="FFFF0000"/>
              </font>
            </x14:dxf>
          </x14:cfRule>
          <x14:cfRule type="containsText" priority="450"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458"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459"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441"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440"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447"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448"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432"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431"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429" operator="containsText" id="{EBB1EEDF-EC1F-4AFE-9453-D6F0706CF8FF}">
            <xm:f>NOT(ISERROR(SEARCH($AZ$8,AQ435)))</xm:f>
            <xm:f>$AZ$8</xm:f>
            <x14:dxf>
              <font>
                <b/>
                <i val="0"/>
                <color rgb="FFFF0000"/>
              </font>
            </x14:dxf>
          </x14:cfRule>
          <x14:cfRule type="containsText" priority="430"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438"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439"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421"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420"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418" operator="containsText" id="{6EFBB90C-D06A-471F-A150-CFD8DB66BE75}">
            <xm:f>NOT(ISERROR(SEARCH($AZ$8,AQ437)))</xm:f>
            <xm:f>$AZ$8</xm:f>
            <x14:dxf>
              <font>
                <b/>
                <i val="0"/>
                <color rgb="FFFF0000"/>
              </font>
            </x14:dxf>
          </x14:cfRule>
          <x14:cfRule type="containsText" priority="419"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410"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409"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416"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417"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401"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400"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398" operator="containsText" id="{AB3EE87F-D1D5-4762-9D8C-C8AD0923753E}">
            <xm:f>NOT(ISERROR(SEARCH($AZ$8,AQ441)))</xm:f>
            <xm:f>$AZ$8</xm:f>
            <x14:dxf>
              <font>
                <b/>
                <i val="0"/>
                <color rgb="FFFF0000"/>
              </font>
            </x14:dxf>
          </x14:cfRule>
          <x14:cfRule type="containsText" priority="399"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390"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389"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387" operator="containsText" id="{CAA0316D-0344-4AA6-BDC4-6B9A0D167593}">
            <xm:f>NOT(ISERROR(SEARCH($AZ$8,AQ443)))</xm:f>
            <xm:f>$AZ$8</xm:f>
            <x14:dxf>
              <font>
                <b/>
                <i val="0"/>
                <color rgb="FFFF0000"/>
              </font>
            </x14:dxf>
          </x14:cfRule>
          <x14:cfRule type="containsText" priority="388"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379"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378"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370"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369"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367" operator="containsText" id="{2786D6F3-BE3E-4D1A-8F50-A753CAF46C99}">
            <xm:f>NOT(ISERROR(SEARCH($AZ$8,AQ447)))</xm:f>
            <xm:f>$AZ$8</xm:f>
            <x14:dxf>
              <font>
                <b/>
                <i val="0"/>
                <color rgb="FFFF0000"/>
              </font>
            </x14:dxf>
          </x14:cfRule>
          <x14:cfRule type="containsText" priority="368"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359"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358"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356" operator="containsText" id="{15FB0DE1-DB7B-4B87-98DE-C25A13E6811A}">
            <xm:f>NOT(ISERROR(SEARCH($AZ$8,AQ449)))</xm:f>
            <xm:f>$AZ$8</xm:f>
            <x14:dxf>
              <font>
                <b/>
                <i val="0"/>
                <color rgb="FFFF0000"/>
              </font>
            </x14:dxf>
          </x14:cfRule>
          <x14:cfRule type="containsText" priority="357"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348"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347"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339"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338"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336" operator="containsText" id="{8B79D03C-8C8C-49A1-8200-5B870AEB97A0}">
            <xm:f>NOT(ISERROR(SEARCH($AZ$8,AQ453)))</xm:f>
            <xm:f>$AZ$8</xm:f>
            <x14:dxf>
              <font>
                <b/>
                <i val="0"/>
                <color rgb="FFFF0000"/>
              </font>
            </x14:dxf>
          </x14:cfRule>
          <x14:cfRule type="containsText" priority="337"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328"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327"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314" operator="containsText" id="{4BE44158-E1E6-4EC5-B8CE-17E79A17EA0C}">
            <xm:f>NOT(ISERROR(SEARCH($AZ$8,AQ448)))</xm:f>
            <xm:f>$AZ$8</xm:f>
            <x14:dxf>
              <font>
                <b/>
                <i val="0"/>
                <color rgb="FFFF0000"/>
              </font>
            </x14:dxf>
          </x14:cfRule>
          <x14:cfRule type="containsText" priority="315"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310" operator="containsText" id="{1DBB1C25-3310-4EDB-B60C-F02951E98347}">
            <xm:f>NOT(ISERROR(SEARCH($AZ$8,AQ451)))</xm:f>
            <xm:f>$AZ$8</xm:f>
            <x14:dxf>
              <font>
                <b/>
                <i val="0"/>
                <color rgb="FFFF0000"/>
              </font>
            </x14:dxf>
          </x14:cfRule>
          <x14:cfRule type="containsText" priority="311"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306" operator="containsText" id="{AC2E2BA2-08F4-4E35-8D1A-809AF892068E}">
            <xm:f>NOT(ISERROR(SEARCH($AZ$8,AQ457)))</xm:f>
            <xm:f>$AZ$8</xm:f>
            <x14:dxf>
              <font>
                <b/>
                <i val="0"/>
                <color rgb="FFFF0000"/>
              </font>
            </x14:dxf>
          </x14:cfRule>
          <x14:cfRule type="containsText" priority="307"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300"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299"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291"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290"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286" operator="containsText" id="{A3446065-D273-42B4-8A1E-58DBA26AC02A}">
            <xm:f>NOT(ISERROR(SEARCH($AZ$8,AQ466)))</xm:f>
            <xm:f>$AZ$8</xm:f>
            <x14:dxf>
              <font>
                <b/>
                <i val="0"/>
                <color rgb="FFFF0000"/>
              </font>
            </x14:dxf>
          </x14:cfRule>
          <x14:cfRule type="containsText" priority="287"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284" operator="containsText" id="{3B2B29B4-033A-4D92-BD11-E05459C06AD7}">
            <xm:f>NOT(ISERROR(SEARCH($AZ$8,AQ487)))</xm:f>
            <xm:f>$AZ$8</xm:f>
            <x14:dxf>
              <font>
                <b/>
                <i val="0"/>
                <color rgb="FFFF0000"/>
              </font>
            </x14:dxf>
          </x14:cfRule>
          <x14:cfRule type="containsText" priority="285"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280" operator="containsText" id="{3F8D53C8-AE9A-4802-BA82-977A736135C9}">
            <xm:f>NOT(ISERROR(SEARCH($AZ$8,AQ488)))</xm:f>
            <xm:f>$AZ$8</xm:f>
            <x14:dxf>
              <font>
                <b/>
                <i val="0"/>
                <color rgb="FFFF0000"/>
              </font>
            </x14:dxf>
          </x14:cfRule>
          <x14:cfRule type="containsText" priority="281"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278" operator="containsText" id="{9A1A9CB4-9C90-4F48-A3A4-0A104E5F85E5}">
            <xm:f>NOT(ISERROR(SEARCH($AZ$8,AQ496)))</xm:f>
            <xm:f>$AZ$8</xm:f>
            <x14:dxf>
              <font>
                <b/>
                <i val="0"/>
                <color rgb="FFFF0000"/>
              </font>
            </x14:dxf>
          </x14:cfRule>
          <x14:cfRule type="containsText" priority="279"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276" operator="containsText" id="{55AB6D91-FC48-43FD-B3C9-EDA7570DD788}">
            <xm:f>NOT(ISERROR(SEARCH($AZ$8,AQ498)))</xm:f>
            <xm:f>$AZ$8</xm:f>
            <x14:dxf>
              <font>
                <b/>
                <i val="0"/>
                <color rgb="FFFF0000"/>
              </font>
            </x14:dxf>
          </x14:cfRule>
          <x14:cfRule type="containsText" priority="277"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274" operator="containsText" id="{F847D8D3-BFC3-42BB-97CE-F58346308D8C}">
            <xm:f>NOT(ISERROR(SEARCH($AZ$8,AQ504)))</xm:f>
            <xm:f>$AZ$8</xm:f>
            <x14:dxf>
              <font>
                <b/>
                <i val="0"/>
                <color rgb="FFFF0000"/>
              </font>
            </x14:dxf>
          </x14:cfRule>
          <x14:cfRule type="containsText" priority="275"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272" operator="containsText" id="{5A59EBF2-6DD1-4531-8991-A50C016A9EC4}">
            <xm:f>NOT(ISERROR(SEARCH($AZ$8,AQ506)))</xm:f>
            <xm:f>$AZ$8</xm:f>
            <x14:dxf>
              <font>
                <b/>
                <i val="0"/>
                <color rgb="FFFF0000"/>
              </font>
            </x14:dxf>
          </x14:cfRule>
          <x14:cfRule type="containsText" priority="273"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270" operator="containsText" id="{FE2E2239-0E23-4853-81FB-10E50706BA25}">
            <xm:f>NOT(ISERROR(SEARCH($AZ$8,AQ507)))</xm:f>
            <xm:f>$AZ$8</xm:f>
            <x14:dxf>
              <font>
                <b/>
                <i val="0"/>
                <color rgb="FFFF0000"/>
              </font>
            </x14:dxf>
          </x14:cfRule>
          <x14:cfRule type="containsText" priority="271"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268" operator="containsText" id="{46FF7D3B-40E6-4A9D-8ABA-02A8F23B7BD4}">
            <xm:f>NOT(ISERROR(SEARCH($AZ$8,AQ515)))</xm:f>
            <xm:f>$AZ$8</xm:f>
            <x14:dxf>
              <font>
                <b/>
                <i val="0"/>
                <color rgb="FFFF0000"/>
              </font>
            </x14:dxf>
          </x14:cfRule>
          <x14:cfRule type="containsText" priority="269"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266" operator="containsText" id="{02C45C3A-1F42-487C-A423-B2E6567B95C0}">
            <xm:f>NOT(ISERROR(SEARCH($AZ$8,AQ505)))</xm:f>
            <xm:f>$AZ$8</xm:f>
            <x14:dxf>
              <font>
                <b/>
                <i val="0"/>
                <color rgb="FFFF0000"/>
              </font>
            </x14:dxf>
          </x14:cfRule>
          <x14:cfRule type="containsText" priority="267"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264" operator="containsText" id="{C947782D-C581-4AEB-9B3E-A68E5C5F237A}">
            <xm:f>NOT(ISERROR(SEARCH($AZ$8,AQ517)))</xm:f>
            <xm:f>$AZ$8</xm:f>
            <x14:dxf>
              <font>
                <b/>
                <i val="0"/>
                <color rgb="FFFF0000"/>
              </font>
            </x14:dxf>
          </x14:cfRule>
          <x14:cfRule type="containsText" priority="265"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262" operator="containsText" id="{4C782B14-859E-4BD3-AE09-E60B07E1A5AD}">
            <xm:f>NOT(ISERROR(SEARCH($AZ$8,AQ519)))</xm:f>
            <xm:f>$AZ$8</xm:f>
            <x14:dxf>
              <font>
                <b/>
                <i val="0"/>
                <color rgb="FFFF0000"/>
              </font>
            </x14:dxf>
          </x14:cfRule>
          <x14:cfRule type="containsText" priority="263"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260" operator="containsText" id="{8FC4316E-8B76-4EA6-9A46-B95B8A7A9DB5}">
            <xm:f>NOT(ISERROR(SEARCH($AZ$8,AQ520)))</xm:f>
            <xm:f>$AZ$8</xm:f>
            <x14:dxf>
              <font>
                <b/>
                <i val="0"/>
                <color rgb="FFFF0000"/>
              </font>
            </x14:dxf>
          </x14:cfRule>
          <x14:cfRule type="containsText" priority="261"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258" operator="containsText" id="{617465D6-8116-4F4D-B148-8E69E29CD507}">
            <xm:f>NOT(ISERROR(SEARCH($AZ$8,AQ521)))</xm:f>
            <xm:f>$AZ$8</xm:f>
            <x14:dxf>
              <font>
                <b/>
                <i val="0"/>
                <color rgb="FFFF0000"/>
              </font>
            </x14:dxf>
          </x14:cfRule>
          <x14:cfRule type="containsText" priority="259"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256" operator="containsText" id="{9E14E9FF-DB87-4545-902F-85D491E2C5F4}">
            <xm:f>NOT(ISERROR(SEARCH($AZ$8,AQ523)))</xm:f>
            <xm:f>$AZ$8</xm:f>
            <x14:dxf>
              <font>
                <b/>
                <i val="0"/>
                <color rgb="FFFF0000"/>
              </font>
            </x14:dxf>
          </x14:cfRule>
          <x14:cfRule type="containsText" priority="257"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254" operator="containsText" id="{DF3ACB8D-624A-4CB6-A405-FCAFCFA18D78}">
            <xm:f>NOT(ISERROR(SEARCH($AZ$8,AQ524)))</xm:f>
            <xm:f>$AZ$8</xm:f>
            <x14:dxf>
              <font>
                <b/>
                <i val="0"/>
                <color rgb="FFFF0000"/>
              </font>
            </x14:dxf>
          </x14:cfRule>
          <x14:cfRule type="containsText" priority="255"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252" operator="containsText" id="{84F015BB-0F24-4571-BE43-26888FF653D0}">
            <xm:f>NOT(ISERROR(SEARCH($AZ$8,AQ526)))</xm:f>
            <xm:f>$AZ$8</xm:f>
            <x14:dxf>
              <font>
                <b/>
                <i val="0"/>
                <color rgb="FFFF0000"/>
              </font>
            </x14:dxf>
          </x14:cfRule>
          <x14:cfRule type="containsText" priority="253"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250" operator="containsText" id="{E6F18C11-D5A5-424E-A0D1-20268EABE0FF}">
            <xm:f>NOT(ISERROR(SEARCH($AZ$8,AQ527)))</xm:f>
            <xm:f>$AZ$8</xm:f>
            <x14:dxf>
              <font>
                <b/>
                <i val="0"/>
                <color rgb="FFFF0000"/>
              </font>
            </x14:dxf>
          </x14:cfRule>
          <x14:cfRule type="containsText" priority="251"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248" operator="containsText" id="{5BA08E2E-457F-4EF2-B36A-64126030C5C9}">
            <xm:f>NOT(ISERROR(SEARCH($AZ$8,AQ528)))</xm:f>
            <xm:f>$AZ$8</xm:f>
            <x14:dxf>
              <font>
                <b/>
                <i val="0"/>
                <color rgb="FFFF0000"/>
              </font>
            </x14:dxf>
          </x14:cfRule>
          <x14:cfRule type="containsText" priority="249"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246" operator="containsText" id="{9E5C3296-A423-4E81-9574-630E6245EF49}">
            <xm:f>NOT(ISERROR(SEARCH($AZ$8,AQ529)))</xm:f>
            <xm:f>$AZ$8</xm:f>
            <x14:dxf>
              <font>
                <b/>
                <i val="0"/>
                <color rgb="FFFF0000"/>
              </font>
            </x14:dxf>
          </x14:cfRule>
          <x14:cfRule type="containsText" priority="247"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219" operator="containsText" id="{136E0FDB-B06C-4C7C-98E6-21344803C8A7}">
            <xm:f>NOT(ISERROR(SEARCH($AZ$8,AQ551)))</xm:f>
            <xm:f>$AZ$8</xm:f>
            <x14:dxf>
              <font>
                <b/>
                <i val="0"/>
                <color rgb="FFFF0000"/>
              </font>
            </x14:dxf>
          </x14:cfRule>
          <x14:cfRule type="containsText" priority="220"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217" operator="containsText" id="{F1AC245F-23D9-4E80-8071-EE31E446CC7D}">
            <xm:f>NOT(ISERROR(SEARCH($AZ$8,AQ555)))</xm:f>
            <xm:f>$AZ$8</xm:f>
            <x14:dxf>
              <font>
                <b/>
                <i val="0"/>
                <color rgb="FFFF0000"/>
              </font>
            </x14:dxf>
          </x14:cfRule>
          <x14:cfRule type="containsText" priority="218"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215" operator="containsText" id="{F6A60626-8AFB-4517-8581-66CC2D24950E}">
            <xm:f>NOT(ISERROR(SEARCH($AZ$8,AQ561)))</xm:f>
            <xm:f>$AZ$8</xm:f>
            <x14:dxf>
              <font>
                <b/>
                <i val="0"/>
                <color rgb="FFFF0000"/>
              </font>
            </x14:dxf>
          </x14:cfRule>
          <x14:cfRule type="containsText" priority="216"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213" operator="containsText" id="{036FA788-CB3A-45F4-A954-3FAE63494C9F}">
            <xm:f>NOT(ISERROR(SEARCH($AZ$8,AQ570)))</xm:f>
            <xm:f>$AZ$8</xm:f>
            <x14:dxf>
              <font>
                <b/>
                <i val="0"/>
                <color rgb="FFFF0000"/>
              </font>
            </x14:dxf>
          </x14:cfRule>
          <x14:cfRule type="containsText" priority="214"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211" operator="containsText" id="{4923CDF1-FF19-4F70-91C3-6AD3BBD08EAE}">
            <xm:f>NOT(ISERROR(SEARCH($AZ$8,AQ589)))</xm:f>
            <xm:f>$AZ$8</xm:f>
            <x14:dxf>
              <font>
                <b/>
                <i val="0"/>
                <color rgb="FFFF0000"/>
              </font>
            </x14:dxf>
          </x14:cfRule>
          <x14:cfRule type="containsText" priority="212"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207"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206"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204"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205"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88" operator="containsText" id="{E2568196-10FB-4E35-9352-6A667B11DA8A}">
            <xm:f>NOT(ISERROR(SEARCH($AZ$8,AQ601)))</xm:f>
            <xm:f>$AZ$8</xm:f>
            <x14:dxf>
              <font>
                <b/>
                <i val="0"/>
                <color rgb="FFFF0000"/>
              </font>
            </x14:dxf>
          </x14:cfRule>
          <x14:cfRule type="containsText" priority="189"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86" operator="containsText" id="{44E2FE6B-CBCA-429B-B9F7-09AC6FE03AD4}">
            <xm:f>NOT(ISERROR(SEARCH($AZ$8,AQ605)))</xm:f>
            <xm:f>$AZ$8</xm:f>
            <x14:dxf>
              <font>
                <b/>
                <i val="0"/>
                <color rgb="FFFF0000"/>
              </font>
            </x14:dxf>
          </x14:cfRule>
          <x14:cfRule type="containsText" priority="187"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179" operator="containsText" id="{259063F6-A38B-462D-B2D9-70790262E95B}">
            <xm:f>NOT(ISERROR(SEARCH($AZ$8,AQ609)))</xm:f>
            <xm:f>$AZ$8</xm:f>
            <x14:dxf>
              <font>
                <b/>
                <i val="0"/>
                <color rgb="FFFF0000"/>
              </font>
            </x14:dxf>
          </x14:cfRule>
          <x14:cfRule type="containsText" priority="180"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77" operator="containsText" id="{15B4C141-EC7F-428A-8406-975F21B6500D}">
            <xm:f>NOT(ISERROR(SEARCH($AZ$8,AQ610)))</xm:f>
            <xm:f>$AZ$8</xm:f>
            <x14:dxf>
              <font>
                <b/>
                <i val="0"/>
                <color rgb="FFFF0000"/>
              </font>
            </x14:dxf>
          </x14:cfRule>
          <x14:cfRule type="containsText" priority="178"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75" operator="containsText" id="{0EBA629B-4449-46D1-8D12-660903177B67}">
            <xm:f>NOT(ISERROR(SEARCH($AZ$8,AQ613)))</xm:f>
            <xm:f>$AZ$8</xm:f>
            <x14:dxf>
              <font>
                <b/>
                <i val="0"/>
                <color rgb="FFFF0000"/>
              </font>
            </x14:dxf>
          </x14:cfRule>
          <x14:cfRule type="containsText" priority="176"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173" operator="containsText" id="{B76ADF4F-26F3-4521-863F-1E4100A19E66}">
            <xm:f>NOT(ISERROR(SEARCH($AZ$8,AQ617)))</xm:f>
            <xm:f>$AZ$8</xm:f>
            <x14:dxf>
              <font>
                <b/>
                <i val="0"/>
                <color rgb="FFFF0000"/>
              </font>
            </x14:dxf>
          </x14:cfRule>
          <x14:cfRule type="containsText" priority="174"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171" operator="containsText" id="{28D387C4-6B85-4B53-AD53-685D0C9D9779}">
            <xm:f>NOT(ISERROR(SEARCH($AZ$8,AQ618)))</xm:f>
            <xm:f>$AZ$8</xm:f>
            <x14:dxf>
              <font>
                <b/>
                <i val="0"/>
                <color rgb="FFFF0000"/>
              </font>
            </x14:dxf>
          </x14:cfRule>
          <x14:cfRule type="containsText" priority="172"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167" operator="containsText" id="{86B0E539-4C2E-4520-B995-34D8681052AA}">
            <xm:f>NOT(ISERROR(SEARCH($AZ$8,AQ620)))</xm:f>
            <xm:f>$AZ$8</xm:f>
            <x14:dxf>
              <font>
                <b/>
                <i val="0"/>
                <color rgb="FFFF0000"/>
              </font>
            </x14:dxf>
          </x14:cfRule>
          <x14:cfRule type="containsText" priority="168"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165" operator="containsText" id="{F39A4451-B525-4E8C-8608-A632FAA077CC}">
            <xm:f>NOT(ISERROR(SEARCH($AZ$8,AQ621)))</xm:f>
            <xm:f>$AZ$8</xm:f>
            <x14:dxf>
              <font>
                <b/>
                <i val="0"/>
                <color rgb="FFFF0000"/>
              </font>
            </x14:dxf>
          </x14:cfRule>
          <x14:cfRule type="containsText" priority="166"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161"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160"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158"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159"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142" operator="containsText" id="{AE1399F5-0B8B-48B6-918D-944E0C5EB1DB}">
            <xm:f>NOT(ISERROR(SEARCH($AZ$8,AQ634)))</xm:f>
            <xm:f>$AZ$8</xm:f>
            <x14:dxf>
              <font>
                <b/>
                <i val="0"/>
                <color rgb="FFFF0000"/>
              </font>
            </x14:dxf>
          </x14:cfRule>
          <x14:cfRule type="containsText" priority="143"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140" operator="containsText" id="{7CCCC73C-FE15-4643-8997-A9E68E49F261}">
            <xm:f>NOT(ISERROR(SEARCH($AZ$8,AQ639)))</xm:f>
            <xm:f>$AZ$8</xm:f>
            <x14:dxf>
              <font>
                <b/>
                <i val="0"/>
                <color rgb="FFFF0000"/>
              </font>
            </x14:dxf>
          </x14:cfRule>
          <x14:cfRule type="containsText" priority="141"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138" operator="containsText" id="{CB51F844-1E82-459B-8B98-7BDB39D5C8D2}">
            <xm:f>NOT(ISERROR(SEARCH($AZ$8,AQ649)))</xm:f>
            <xm:f>$AZ$8</xm:f>
            <x14:dxf>
              <font>
                <b/>
                <i val="0"/>
                <color rgb="FFFF0000"/>
              </font>
            </x14:dxf>
          </x14:cfRule>
          <x14:cfRule type="containsText" priority="139"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134" operator="containsText" id="{657DF7FB-F2C4-4850-A09C-3ED699049A3E}">
            <xm:f>NOT(ISERROR(SEARCH($AZ$8,AQ650)))</xm:f>
            <xm:f>$AZ$8</xm:f>
            <x14:dxf>
              <font>
                <b/>
                <i val="0"/>
                <color rgb="FFFF0000"/>
              </font>
            </x14:dxf>
          </x14:cfRule>
          <x14:cfRule type="containsText" priority="135"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132" operator="containsText" id="{25F170FB-E789-4B44-AD5B-8ACB4A77EF48}">
            <xm:f>NOT(ISERROR(SEARCH($AZ$8,AQ651)))</xm:f>
            <xm:f>$AZ$8</xm:f>
            <x14:dxf>
              <font>
                <b/>
                <i val="0"/>
                <color rgb="FFFF0000"/>
              </font>
            </x14:dxf>
          </x14:cfRule>
          <x14:cfRule type="containsText" priority="133"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130" operator="containsText" id="{88121ED9-6F70-4F45-90D3-277494D5FEF8}">
            <xm:f>NOT(ISERROR(SEARCH($AZ$8,AQ652)))</xm:f>
            <xm:f>$AZ$8</xm:f>
            <x14:dxf>
              <font>
                <b/>
                <i val="0"/>
                <color rgb="FFFF0000"/>
              </font>
            </x14:dxf>
          </x14:cfRule>
          <x14:cfRule type="containsText" priority="131"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128" operator="containsText" id="{57220EFA-1A92-4043-9926-C17E7E7671AE}">
            <xm:f>NOT(ISERROR(SEARCH($AZ$8,AQ653)))</xm:f>
            <xm:f>$AZ$8</xm:f>
            <x14:dxf>
              <font>
                <b/>
                <i val="0"/>
                <color rgb="FFFF0000"/>
              </font>
            </x14:dxf>
          </x14:cfRule>
          <x14:cfRule type="containsText" priority="129"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126" operator="containsText" id="{A6E1126B-7EA2-4791-AE8D-42E3DFE4E678}">
            <xm:f>NOT(ISERROR(SEARCH($AZ$8,AQ654)))</xm:f>
            <xm:f>$AZ$8</xm:f>
            <x14:dxf>
              <font>
                <b/>
                <i val="0"/>
                <color rgb="FFFF0000"/>
              </font>
            </x14:dxf>
          </x14:cfRule>
          <x14:cfRule type="containsText" priority="127"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124" operator="containsText" id="{5E2ABFAB-715F-411F-B88C-DFCA46CFA4B9}">
            <xm:f>NOT(ISERROR(SEARCH($AZ$8,AQ658)))</xm:f>
            <xm:f>$AZ$8</xm:f>
            <x14:dxf>
              <font>
                <b/>
                <i val="0"/>
                <color rgb="FFFF0000"/>
              </font>
            </x14:dxf>
          </x14:cfRule>
          <x14:cfRule type="containsText" priority="125"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122" operator="containsText" id="{4CC726F3-3126-48D5-920F-3BDF0AF324C4}">
            <xm:f>NOT(ISERROR(SEARCH($AZ$8,AQ660)))</xm:f>
            <xm:f>$AZ$8</xm:f>
            <x14:dxf>
              <font>
                <b/>
                <i val="0"/>
                <color rgb="FFFF0000"/>
              </font>
            </x14:dxf>
          </x14:cfRule>
          <x14:cfRule type="containsText" priority="123"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120" operator="containsText" id="{D2D67178-28F2-4A96-B64D-C270B5A1C6B8}">
            <xm:f>NOT(ISERROR(SEARCH($AZ$8,AQ661)))</xm:f>
            <xm:f>$AZ$8</xm:f>
            <x14:dxf>
              <font>
                <b/>
                <i val="0"/>
                <color rgb="FFFF0000"/>
              </font>
            </x14:dxf>
          </x14:cfRule>
          <x14:cfRule type="containsText" priority="121"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118" operator="containsText" id="{2BBEFE9D-5D3C-448A-B4F0-B7789C55F937}">
            <xm:f>NOT(ISERROR(SEARCH($AZ$8,AQ667)))</xm:f>
            <xm:f>$AZ$8</xm:f>
            <x14:dxf>
              <font>
                <b/>
                <i val="0"/>
                <color rgb="FFFF0000"/>
              </font>
            </x14:dxf>
          </x14:cfRule>
          <x14:cfRule type="containsText" priority="119"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114"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113"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111"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112"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93"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92"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90"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91"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74" operator="containsText" id="{E16CA5A5-8144-4F0D-B745-94D025D868BC}">
            <xm:f>NOT(ISERROR(SEARCH($AZ$8,AQ668)))</xm:f>
            <xm:f>$AZ$8</xm:f>
            <x14:dxf>
              <font>
                <b/>
                <i val="0"/>
                <color rgb="FFFF0000"/>
              </font>
            </x14:dxf>
          </x14:cfRule>
          <x14:cfRule type="containsText" priority="75"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72" operator="containsText" id="{B1BD5675-D7F9-49E7-A2E5-962FA508F9BC}">
            <xm:f>NOT(ISERROR(SEARCH($AZ$8,AQ671)))</xm:f>
            <xm:f>$AZ$8</xm:f>
            <x14:dxf>
              <font>
                <b/>
                <i val="0"/>
                <color rgb="FFFF0000"/>
              </font>
            </x14:dxf>
          </x14:cfRule>
          <x14:cfRule type="containsText" priority="73"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70" operator="containsText" id="{7A979777-DEE2-49D3-8708-E6DDE0D19975}">
            <xm:f>NOT(ISERROR(SEARCH($AZ$8,AQ672)))</xm:f>
            <xm:f>$AZ$8</xm:f>
            <x14:dxf>
              <font>
                <b/>
                <i val="0"/>
                <color rgb="FFFF0000"/>
              </font>
            </x14:dxf>
          </x14:cfRule>
          <x14:cfRule type="containsText" priority="71"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68" operator="containsText" id="{DC2890AF-5887-4351-BB9A-C390AF6DF78F}">
            <xm:f>NOT(ISERROR(SEARCH($AZ$8,AQ675)))</xm:f>
            <xm:f>$AZ$8</xm:f>
            <x14:dxf>
              <font>
                <b/>
                <i val="0"/>
                <color rgb="FFFF0000"/>
              </font>
            </x14:dxf>
          </x14:cfRule>
          <x14:cfRule type="containsText" priority="69"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66" operator="containsText" id="{E23A5C6F-97F6-4326-A797-2CFCE2CEFEF7}">
            <xm:f>NOT(ISERROR(SEARCH($AZ$8,AQ676)))</xm:f>
            <xm:f>$AZ$8</xm:f>
            <x14:dxf>
              <font>
                <b/>
                <i val="0"/>
                <color rgb="FFFF0000"/>
              </font>
            </x14:dxf>
          </x14:cfRule>
          <x14:cfRule type="containsText" priority="67"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64" operator="containsText" id="{F00FBF28-EE8D-4CD3-AF97-E29DE6F9D1C6}">
            <xm:f>NOT(ISERROR(SEARCH($AZ$8,AQ680)))</xm:f>
            <xm:f>$AZ$8</xm:f>
            <x14:dxf>
              <font>
                <b/>
                <i val="0"/>
                <color rgb="FFFF0000"/>
              </font>
            </x14:dxf>
          </x14:cfRule>
          <x14:cfRule type="containsText" priority="65"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60"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59"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57"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58"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39"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38"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36"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37"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18"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17"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15"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16"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AH639:AH643 AH645:AH656 AH658:AH661 AH663 AH665 AH667:AH681</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2607</v>
      </c>
      <c r="F33" s="425" t="s">
        <v>1671</v>
      </c>
      <c r="G33" s="478">
        <v>478000000</v>
      </c>
      <c r="J33" s="54"/>
      <c r="T33" s="57" t="s">
        <v>629</v>
      </c>
      <c r="U33" s="57" t="s">
        <v>908</v>
      </c>
      <c r="Z33" s="58"/>
    </row>
    <row r="34" spans="2:38" x14ac:dyDescent="0.25">
      <c r="B34" t="s">
        <v>2609</v>
      </c>
      <c r="F34" s="425" t="s">
        <v>1672</v>
      </c>
      <c r="G34" s="478">
        <v>108000000</v>
      </c>
      <c r="J34" s="54"/>
      <c r="T34" s="57" t="s">
        <v>630</v>
      </c>
      <c r="U34" s="57" t="s">
        <v>908</v>
      </c>
    </row>
    <row r="35" spans="2:38" x14ac:dyDescent="0.25">
      <c r="B35" t="s">
        <v>2608</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2394</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2079</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2605</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2606</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99" t="s">
        <v>411</v>
      </c>
      <c r="J4" s="1100"/>
      <c r="K4" s="1100"/>
      <c r="L4" s="1100"/>
      <c r="M4" s="1100"/>
      <c r="N4" s="1100"/>
      <c r="O4" s="1101"/>
      <c r="P4" s="21"/>
      <c r="Q4" s="27"/>
      <c r="R4" s="21"/>
      <c r="S4"/>
    </row>
    <row r="5" spans="1:19" ht="15" hidden="1" customHeight="1" x14ac:dyDescent="0.25">
      <c r="A5" s="21"/>
      <c r="B5" s="27"/>
      <c r="C5" s="21"/>
      <c r="D5" s="21"/>
      <c r="E5" s="21"/>
      <c r="F5" s="21"/>
      <c r="G5" s="27"/>
      <c r="H5" s="28"/>
      <c r="I5" s="1102"/>
      <c r="J5" s="1103"/>
      <c r="K5" s="1103"/>
      <c r="L5" s="1103"/>
      <c r="M5" s="1103"/>
      <c r="N5" s="1103"/>
      <c r="O5" s="1104"/>
      <c r="P5" s="21"/>
      <c r="Q5" s="27"/>
      <c r="R5" s="21"/>
      <c r="S5"/>
    </row>
    <row r="6" spans="1:19" x14ac:dyDescent="0.25">
      <c r="A6" s="21"/>
      <c r="B6" s="27"/>
      <c r="C6" s="21"/>
      <c r="D6" s="21"/>
      <c r="E6" s="21"/>
      <c r="F6" s="21"/>
      <c r="G6" s="27"/>
      <c r="H6" s="28"/>
      <c r="I6" s="1102"/>
      <c r="J6" s="1103"/>
      <c r="K6" s="1103"/>
      <c r="L6" s="1103"/>
      <c r="M6" s="1103"/>
      <c r="N6" s="1103"/>
      <c r="O6" s="1104"/>
      <c r="P6" s="21"/>
      <c r="Q6" s="27"/>
      <c r="R6" s="21"/>
      <c r="S6"/>
    </row>
    <row r="7" spans="1:19" ht="10.5" customHeight="1" x14ac:dyDescent="0.25">
      <c r="A7" s="21"/>
      <c r="B7" s="27"/>
      <c r="C7" s="21"/>
      <c r="D7" s="21"/>
      <c r="E7" s="21"/>
      <c r="F7" s="21"/>
      <c r="G7" s="27"/>
      <c r="H7" s="28"/>
      <c r="I7" s="1102" t="s">
        <v>412</v>
      </c>
      <c r="J7" s="1103"/>
      <c r="K7" s="1103"/>
      <c r="L7" s="1103"/>
      <c r="M7" s="1103"/>
      <c r="N7" s="1103"/>
      <c r="O7" s="1104"/>
      <c r="P7" s="21"/>
      <c r="Q7" s="27"/>
      <c r="R7" s="21"/>
      <c r="S7"/>
    </row>
    <row r="8" spans="1:19" x14ac:dyDescent="0.25">
      <c r="A8" s="21"/>
      <c r="B8" s="27"/>
      <c r="C8" s="21"/>
      <c r="D8" s="21"/>
      <c r="E8" s="21"/>
      <c r="F8" s="21"/>
      <c r="G8" s="27"/>
      <c r="H8" s="28"/>
      <c r="I8" s="1102"/>
      <c r="J8" s="1103"/>
      <c r="K8" s="1103"/>
      <c r="L8" s="1103"/>
      <c r="M8" s="1103"/>
      <c r="N8" s="1103"/>
      <c r="O8" s="1104"/>
      <c r="P8" s="21"/>
      <c r="Q8" s="27"/>
      <c r="R8" s="21"/>
      <c r="S8"/>
    </row>
    <row r="9" spans="1:19" x14ac:dyDescent="0.25">
      <c r="A9" s="21"/>
      <c r="B9" s="27"/>
      <c r="C9" s="21"/>
      <c r="D9" s="21"/>
      <c r="E9" s="21"/>
      <c r="F9" s="21"/>
      <c r="G9" s="27"/>
      <c r="H9" s="28"/>
      <c r="I9" s="1102"/>
      <c r="J9" s="1103"/>
      <c r="K9" s="1103"/>
      <c r="L9" s="1103"/>
      <c r="M9" s="1103"/>
      <c r="N9" s="1103"/>
      <c r="O9" s="1104"/>
      <c r="P9" s="21"/>
      <c r="Q9" s="27"/>
      <c r="R9" s="21"/>
      <c r="S9"/>
    </row>
    <row r="10" spans="1:19" ht="8.25" customHeight="1" thickBot="1" x14ac:dyDescent="0.3">
      <c r="A10" s="21"/>
      <c r="B10" s="27"/>
      <c r="C10" s="27"/>
      <c r="D10" s="27"/>
      <c r="E10" s="27"/>
      <c r="F10" s="27"/>
      <c r="G10" s="27"/>
      <c r="H10" s="28"/>
      <c r="I10" s="1105"/>
      <c r="J10" s="1106"/>
      <c r="K10" s="1106"/>
      <c r="L10" s="1106"/>
      <c r="M10" s="1106"/>
      <c r="N10" s="1106"/>
      <c r="O10" s="1107"/>
      <c r="P10" s="21"/>
      <c r="Q10" s="27"/>
      <c r="R10" s="21"/>
      <c r="S10"/>
    </row>
    <row r="11" spans="1:19" ht="16.5" thickTop="1" x14ac:dyDescent="0.25">
      <c r="A11" s="21"/>
      <c r="B11" s="27"/>
      <c r="C11" s="1108" t="s">
        <v>406</v>
      </c>
      <c r="D11" s="1108"/>
      <c r="E11" s="1108"/>
      <c r="F11" s="1108"/>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09" t="s">
        <v>413</v>
      </c>
      <c r="D15" s="1109"/>
      <c r="E15" s="1109"/>
      <c r="F15" s="1109"/>
      <c r="G15" s="1109"/>
      <c r="H15" s="1109"/>
      <c r="I15" s="1109"/>
      <c r="J15" s="1109"/>
      <c r="K15" s="1109"/>
      <c r="L15" s="1109"/>
      <c r="M15" s="1109"/>
      <c r="N15" s="1109"/>
      <c r="O15" s="1109"/>
      <c r="P15" s="1109"/>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10" t="s">
        <v>1076</v>
      </c>
      <c r="E18" s="1110"/>
      <c r="F18" s="1110"/>
      <c r="G18" s="1110"/>
      <c r="H18" s="1110"/>
      <c r="I18" s="1110"/>
      <c r="J18" s="1110"/>
      <c r="K18" s="1110"/>
      <c r="L18" s="1110"/>
      <c r="M18" s="1110"/>
      <c r="N18" s="1110"/>
      <c r="O18" s="1110"/>
      <c r="P18" s="21"/>
      <c r="Q18" s="27"/>
      <c r="R18" s="21"/>
      <c r="S18"/>
    </row>
    <row r="19" spans="1:19" x14ac:dyDescent="0.25">
      <c r="A19" s="21"/>
      <c r="B19" s="27"/>
      <c r="C19" s="21"/>
      <c r="D19" s="1110"/>
      <c r="E19" s="1110"/>
      <c r="F19" s="1110"/>
      <c r="G19" s="1110"/>
      <c r="H19" s="1110"/>
      <c r="I19" s="1110"/>
      <c r="J19" s="1110"/>
      <c r="K19" s="1110"/>
      <c r="L19" s="1110"/>
      <c r="M19" s="1110"/>
      <c r="N19" s="1110"/>
      <c r="O19" s="1110"/>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98" t="s">
        <v>1079</v>
      </c>
      <c r="F22" s="1098"/>
      <c r="G22" s="1098"/>
      <c r="H22" s="1098"/>
      <c r="I22" s="1098"/>
      <c r="J22" s="1098"/>
      <c r="K22" s="1098"/>
      <c r="L22" s="1098"/>
      <c r="M22" s="1098"/>
      <c r="N22" s="1098"/>
      <c r="O22" s="1098"/>
      <c r="P22" s="21"/>
      <c r="Q22" s="27"/>
      <c r="R22" s="21"/>
      <c r="S22"/>
    </row>
    <row r="23" spans="1:19" ht="18.75" customHeight="1" x14ac:dyDescent="0.25">
      <c r="A23" s="21"/>
      <c r="B23" s="27"/>
      <c r="C23" s="21"/>
      <c r="D23" s="21"/>
      <c r="E23" s="1098"/>
      <c r="F23" s="1098"/>
      <c r="G23" s="1098"/>
      <c r="H23" s="1098"/>
      <c r="I23" s="1098"/>
      <c r="J23" s="1098"/>
      <c r="K23" s="1098"/>
      <c r="L23" s="1098"/>
      <c r="M23" s="1098"/>
      <c r="N23" s="1098"/>
      <c r="O23" s="1098"/>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98" t="s">
        <v>1089</v>
      </c>
      <c r="F34" s="1098"/>
      <c r="G34" s="1098"/>
      <c r="H34" s="1098"/>
      <c r="I34" s="1098"/>
      <c r="J34" s="1098"/>
      <c r="K34" s="1098"/>
      <c r="L34" s="1098"/>
      <c r="M34" s="1098"/>
      <c r="N34" s="1098"/>
      <c r="O34" s="1098"/>
      <c r="P34" s="21"/>
      <c r="Q34" s="27"/>
      <c r="R34" s="21"/>
      <c r="S34"/>
    </row>
    <row r="35" spans="1:19" ht="18.75" x14ac:dyDescent="0.3">
      <c r="A35" s="21"/>
      <c r="B35" s="27"/>
      <c r="C35" s="21"/>
      <c r="D35" s="36"/>
      <c r="E35" s="1098"/>
      <c r="F35" s="1098"/>
      <c r="G35" s="1098"/>
      <c r="H35" s="1098"/>
      <c r="I35" s="1098"/>
      <c r="J35" s="1098"/>
      <c r="K35" s="1098"/>
      <c r="L35" s="1098"/>
      <c r="M35" s="1098"/>
      <c r="N35" s="1098"/>
      <c r="O35" s="1098"/>
      <c r="P35" s="21"/>
      <c r="Q35" s="27"/>
      <c r="R35" s="21"/>
      <c r="S35"/>
    </row>
    <row r="36" spans="1:19" s="57" customFormat="1" ht="18.75" x14ac:dyDescent="0.3">
      <c r="A36" s="59"/>
      <c r="B36" s="27"/>
      <c r="C36" s="59"/>
      <c r="D36" s="36"/>
      <c r="E36" s="1098" t="s">
        <v>1090</v>
      </c>
      <c r="F36" s="1098"/>
      <c r="G36" s="1098"/>
      <c r="H36" s="1098"/>
      <c r="I36" s="1098"/>
      <c r="J36" s="1098"/>
      <c r="K36" s="1098"/>
      <c r="L36" s="1098"/>
      <c r="M36" s="1098"/>
      <c r="N36" s="1098"/>
      <c r="O36" s="1098"/>
      <c r="P36" s="59"/>
      <c r="Q36" s="27"/>
      <c r="R36" s="59"/>
    </row>
    <row r="37" spans="1:19" s="57" customFormat="1" ht="18.75" x14ac:dyDescent="0.3">
      <c r="A37" s="59"/>
      <c r="B37" s="27"/>
      <c r="C37" s="59"/>
      <c r="D37" s="36"/>
      <c r="E37" s="1098"/>
      <c r="F37" s="1098"/>
      <c r="G37" s="1098"/>
      <c r="H37" s="1098"/>
      <c r="I37" s="1098"/>
      <c r="J37" s="1098"/>
      <c r="K37" s="1098"/>
      <c r="L37" s="1098"/>
      <c r="M37" s="1098"/>
      <c r="N37" s="1098"/>
      <c r="O37" s="1098"/>
      <c r="P37" s="59"/>
      <c r="Q37" s="27"/>
      <c r="R37" s="59"/>
    </row>
    <row r="38" spans="1:19" s="57" customFormat="1" ht="18.75" x14ac:dyDescent="0.3">
      <c r="A38" s="59"/>
      <c r="B38" s="27"/>
      <c r="C38" s="59"/>
      <c r="D38" s="36"/>
      <c r="E38" s="1098" t="s">
        <v>1091</v>
      </c>
      <c r="F38" s="1098"/>
      <c r="G38" s="1098"/>
      <c r="H38" s="1098"/>
      <c r="I38" s="1098"/>
      <c r="J38" s="1098"/>
      <c r="K38" s="1098"/>
      <c r="L38" s="1098"/>
      <c r="M38" s="1098"/>
      <c r="N38" s="1098"/>
      <c r="O38" s="1098"/>
      <c r="P38" s="59"/>
      <c r="Q38" s="27"/>
      <c r="R38" s="59"/>
    </row>
    <row r="39" spans="1:19" s="57" customFormat="1" ht="18.75" x14ac:dyDescent="0.3">
      <c r="A39" s="59"/>
      <c r="B39" s="27"/>
      <c r="C39" s="59"/>
      <c r="D39" s="36"/>
      <c r="E39" s="1098"/>
      <c r="F39" s="1098"/>
      <c r="G39" s="1098"/>
      <c r="H39" s="1098"/>
      <c r="I39" s="1098"/>
      <c r="J39" s="1098"/>
      <c r="K39" s="1098"/>
      <c r="L39" s="1098"/>
      <c r="M39" s="1098"/>
      <c r="N39" s="1098"/>
      <c r="O39" s="1098"/>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726"/>
  <sheetViews>
    <sheetView zoomScaleNormal="100" workbookViewId="0">
      <pane xSplit="2" ySplit="6" topLeftCell="AK642" activePane="bottomRight" state="frozen"/>
      <selection activeCell="AT677" sqref="AT677"/>
      <selection pane="topRight" activeCell="AT677" sqref="AT677"/>
      <selection pane="bottomLeft" activeCell="AT677" sqref="AT677"/>
      <selection pane="bottomRight" activeCell="AT727" sqref="AT72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11" t="s">
        <v>387</v>
      </c>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216"/>
      <c r="AD2" s="216"/>
      <c r="AE2" s="216"/>
      <c r="AF2" s="216"/>
      <c r="AG2" s="216"/>
      <c r="AH2" s="216"/>
      <c r="AI2" s="216"/>
      <c r="AJ2" s="216"/>
      <c r="AK2" s="216"/>
      <c r="AL2" s="216"/>
      <c r="AM2" s="216"/>
      <c r="AN2" s="216"/>
      <c r="AO2" s="1112" t="s">
        <v>1059</v>
      </c>
      <c r="AP2" s="1113"/>
      <c r="AQ2" s="1113"/>
      <c r="AR2" s="1113"/>
      <c r="AS2" s="1113"/>
      <c r="AT2" s="1113"/>
      <c r="AU2" s="1114"/>
    </row>
    <row r="3" spans="1:49" s="57" customFormat="1" ht="24" thickBot="1" x14ac:dyDescent="0.3">
      <c r="A3" s="59"/>
      <c r="B3" s="106"/>
      <c r="C3" s="107"/>
      <c r="D3" s="217"/>
      <c r="E3" s="1118" t="s">
        <v>961</v>
      </c>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217"/>
      <c r="AD3" s="217"/>
      <c r="AE3" s="217"/>
      <c r="AF3" s="217"/>
      <c r="AG3" s="217"/>
      <c r="AH3" s="217"/>
      <c r="AI3" s="217"/>
      <c r="AJ3" s="217"/>
      <c r="AK3" s="217"/>
      <c r="AL3" s="217"/>
      <c r="AM3" s="217"/>
      <c r="AN3" s="217"/>
      <c r="AO3" s="1115"/>
      <c r="AP3" s="1116"/>
      <c r="AQ3" s="1116"/>
      <c r="AR3" s="1116"/>
      <c r="AS3" s="1116"/>
      <c r="AT3" s="1116"/>
      <c r="AU3" s="1117"/>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24" t="s">
        <v>970</v>
      </c>
      <c r="J5" s="1124"/>
      <c r="K5" s="1124"/>
      <c r="L5" s="1124"/>
      <c r="M5" s="1124"/>
      <c r="N5" s="1124"/>
      <c r="O5" s="1124"/>
      <c r="P5" s="1124"/>
      <c r="Q5" s="1119" t="s">
        <v>942</v>
      </c>
      <c r="R5" s="1123" t="s">
        <v>944</v>
      </c>
      <c r="S5" s="1124"/>
      <c r="T5" s="1124" t="s">
        <v>945</v>
      </c>
      <c r="U5" s="1124"/>
      <c r="V5" s="1124" t="s">
        <v>946</v>
      </c>
      <c r="W5" s="1124"/>
      <c r="X5" s="1124" t="s">
        <v>947</v>
      </c>
      <c r="Y5" s="1125"/>
      <c r="Z5" s="1126" t="s">
        <v>948</v>
      </c>
      <c r="AA5" s="1126"/>
      <c r="AB5" s="1128" t="s">
        <v>950</v>
      </c>
      <c r="AC5" s="1129"/>
      <c r="AD5" s="1129"/>
      <c r="AE5" s="1129"/>
      <c r="AF5" s="1129"/>
      <c r="AG5" s="1129"/>
      <c r="AH5" s="1129"/>
      <c r="AI5" s="1129"/>
      <c r="AJ5" s="1129"/>
      <c r="AK5" s="1129"/>
      <c r="AL5" s="1129"/>
      <c r="AM5" s="1129"/>
      <c r="AN5" s="1129"/>
      <c r="AO5" s="1129"/>
      <c r="AP5" s="1129"/>
      <c r="AQ5" s="1129"/>
      <c r="AR5" s="1129"/>
      <c r="AS5" s="1130"/>
      <c r="AT5" s="1127" t="s">
        <v>1396</v>
      </c>
      <c r="AU5" s="1121"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20"/>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27"/>
      <c r="AU6" s="1122"/>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60"/>
      <c r="K32" s="183"/>
      <c r="L32" s="360"/>
      <c r="M32" s="183"/>
      <c r="N32" s="360"/>
      <c r="O32" s="183"/>
      <c r="P32" s="360"/>
      <c r="Q32" s="86">
        <f t="shared" si="0"/>
        <v>15102355</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x14ac:dyDescent="0.25">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2227</v>
      </c>
      <c r="U152" s="371">
        <v>42551</v>
      </c>
      <c r="V152" s="373" t="s">
        <v>2854</v>
      </c>
      <c r="W152" s="371">
        <v>43099</v>
      </c>
      <c r="X152" s="373" t="s">
        <v>382</v>
      </c>
      <c r="Y152" s="371">
        <v>43281</v>
      </c>
      <c r="Z152" s="387" t="s">
        <v>3737</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0">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2092</v>
      </c>
      <c r="S219" s="371">
        <v>42247</v>
      </c>
      <c r="T219" s="373"/>
      <c r="U219" s="371"/>
      <c r="V219" s="373"/>
      <c r="W219" s="371"/>
      <c r="X219" s="373"/>
      <c r="Y219" s="371"/>
      <c r="Z219" s="377" t="s">
        <v>2092</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0">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0">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0">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c r="L268" s="360"/>
      <c r="M268" s="183"/>
      <c r="N268" s="360"/>
      <c r="O268" s="183"/>
      <c r="P268" s="360"/>
      <c r="Q268" s="86">
        <f t="shared" si="18"/>
        <v>300000000</v>
      </c>
      <c r="R268" s="373"/>
      <c r="S268" s="371"/>
      <c r="T268" s="373"/>
      <c r="U268" s="371"/>
      <c r="V268" s="373"/>
      <c r="W268" s="371"/>
      <c r="X268" s="373"/>
      <c r="Y268" s="371"/>
      <c r="Z268" s="354"/>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0">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2091</v>
      </c>
      <c r="S270" s="371">
        <v>42247</v>
      </c>
      <c r="T270" s="373" t="s">
        <v>379</v>
      </c>
      <c r="U270" s="371">
        <v>42338</v>
      </c>
      <c r="V270" s="373"/>
      <c r="W270" s="371"/>
      <c r="X270" s="373"/>
      <c r="Y270" s="371"/>
      <c r="Z270" s="380" t="s">
        <v>2211</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0">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2245</v>
      </c>
      <c r="U282" s="371">
        <v>42530</v>
      </c>
      <c r="V282" s="373"/>
      <c r="W282" s="371"/>
      <c r="X282" s="373"/>
      <c r="Y282" s="371"/>
      <c r="Z282" s="354" t="s">
        <v>2246</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2416</v>
      </c>
      <c r="S294" s="361">
        <v>42582</v>
      </c>
      <c r="T294" s="179"/>
      <c r="U294" s="361"/>
      <c r="V294" s="179"/>
      <c r="W294" s="361"/>
      <c r="X294" s="179"/>
      <c r="Y294" s="361"/>
      <c r="Z294" s="354" t="s">
        <v>2416</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5" t="s">
        <v>2450</v>
      </c>
      <c r="S299" s="361">
        <v>42531</v>
      </c>
      <c r="T299" s="179"/>
      <c r="U299" s="361"/>
      <c r="V299" s="179"/>
      <c r="W299" s="361"/>
      <c r="X299" s="179"/>
      <c r="Y299" s="361"/>
      <c r="Z299" s="354" t="s">
        <v>2450</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2444</v>
      </c>
      <c r="S300" s="361">
        <v>42510</v>
      </c>
      <c r="T300" s="179"/>
      <c r="U300" s="361"/>
      <c r="V300" s="179"/>
      <c r="W300" s="361"/>
      <c r="X300" s="179"/>
      <c r="Y300" s="361"/>
      <c r="Z300" s="354" t="s">
        <v>2444</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2279</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1">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5" t="s">
        <v>2464</v>
      </c>
      <c r="S309" s="361"/>
      <c r="T309" s="179"/>
      <c r="U309" s="361"/>
      <c r="V309" s="179"/>
      <c r="W309" s="361"/>
      <c r="X309" s="179"/>
      <c r="Y309" s="361"/>
      <c r="Z309" s="354" t="s">
        <v>2464</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2445</v>
      </c>
      <c r="U316" s="361">
        <v>42507</v>
      </c>
      <c r="V316" s="178" t="s">
        <v>2459</v>
      </c>
      <c r="W316" s="361">
        <v>42582</v>
      </c>
      <c r="X316" s="179"/>
      <c r="Y316" s="361"/>
      <c r="Z316" s="354" t="s">
        <v>2460</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2376</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2417</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1">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2593</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2448</v>
      </c>
      <c r="S326" s="361">
        <v>42552</v>
      </c>
      <c r="T326" s="179" t="s">
        <v>2523</v>
      </c>
      <c r="U326" s="361">
        <v>42675</v>
      </c>
      <c r="V326" s="179" t="s">
        <v>381</v>
      </c>
      <c r="W326" s="361">
        <v>42705</v>
      </c>
      <c r="X326" s="179" t="s">
        <v>2749</v>
      </c>
      <c r="Y326" s="361">
        <v>42728</v>
      </c>
      <c r="Z326" s="354" t="s">
        <v>2750</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1">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1">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1"/>
      <c r="K341" s="237"/>
      <c r="L341" s="364"/>
      <c r="M341" s="179"/>
      <c r="N341" s="361"/>
      <c r="O341" s="179"/>
      <c r="P341" s="366"/>
      <c r="Q341" s="86">
        <f t="shared" si="25"/>
        <v>0</v>
      </c>
      <c r="R341" s="284"/>
      <c r="S341" s="361"/>
      <c r="T341" s="179"/>
      <c r="U341" s="361"/>
      <c r="V341" s="179"/>
      <c r="W341" s="361"/>
      <c r="X341" s="179"/>
      <c r="Y341" s="361"/>
      <c r="Z341" s="354"/>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1">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1">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1">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2719</v>
      </c>
      <c r="Y352" s="361">
        <v>42689</v>
      </c>
      <c r="Z352" s="354" t="s">
        <v>2884</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5" t="s">
        <v>2742</v>
      </c>
      <c r="S361" s="361">
        <v>42735</v>
      </c>
      <c r="T361" s="179"/>
      <c r="U361" s="361"/>
      <c r="V361" s="179"/>
      <c r="W361" s="361"/>
      <c r="X361" s="179"/>
      <c r="Y361" s="361"/>
      <c r="Z361" s="354" t="s">
        <v>2743</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1">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2708</v>
      </c>
      <c r="U365" s="361">
        <v>42704</v>
      </c>
      <c r="V365" s="179"/>
      <c r="W365" s="361"/>
      <c r="X365" s="179"/>
      <c r="Y365" s="361"/>
      <c r="Z365" s="354" t="s">
        <v>2709</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2551</v>
      </c>
      <c r="S366" s="361">
        <v>42613</v>
      </c>
      <c r="T366" s="179" t="s">
        <v>1326</v>
      </c>
      <c r="U366" s="361">
        <v>42633</v>
      </c>
      <c r="V366" s="179"/>
      <c r="W366" s="361"/>
      <c r="X366" s="179"/>
      <c r="Y366" s="361"/>
      <c r="Z366" s="354" t="s">
        <v>2619</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1">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8" t="s">
        <v>2686</v>
      </c>
      <c r="S375" s="361">
        <v>42766</v>
      </c>
      <c r="T375" s="179"/>
      <c r="U375" s="361"/>
      <c r="V375" s="179"/>
      <c r="W375" s="361"/>
      <c r="X375" s="179"/>
      <c r="Y375" s="361"/>
      <c r="Z375" s="385" t="s">
        <v>2686</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1">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2462</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2692</v>
      </c>
      <c r="U381" s="361"/>
      <c r="V381" s="179"/>
      <c r="W381" s="361"/>
      <c r="X381" s="179"/>
      <c r="Y381" s="361"/>
      <c r="Z381" s="354" t="s">
        <v>2693</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5" t="s">
        <v>2967</v>
      </c>
      <c r="S397" s="361">
        <v>42898</v>
      </c>
      <c r="T397" s="179"/>
      <c r="U397" s="361"/>
      <c r="V397" s="179"/>
      <c r="W397" s="361"/>
      <c r="X397" s="179"/>
      <c r="Y397" s="361"/>
      <c r="Z397" s="354" t="s">
        <v>2968</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5" t="s">
        <v>2885</v>
      </c>
      <c r="S404" s="361">
        <v>42846</v>
      </c>
      <c r="T404" s="178" t="s">
        <v>543</v>
      </c>
      <c r="U404" s="361">
        <v>42867</v>
      </c>
      <c r="V404" s="179"/>
      <c r="W404" s="361"/>
      <c r="X404" s="179"/>
      <c r="Y404" s="361"/>
      <c r="Z404" s="354" t="s">
        <v>2886</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2708</v>
      </c>
      <c r="S419" s="361">
        <v>42766</v>
      </c>
      <c r="T419" s="179"/>
      <c r="U419" s="361"/>
      <c r="V419" s="179"/>
      <c r="W419" s="361"/>
      <c r="X419" s="179"/>
      <c r="Y419" s="361"/>
      <c r="Z419" s="354" t="s">
        <v>2708</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2978</v>
      </c>
      <c r="S425" s="361">
        <v>42932</v>
      </c>
      <c r="T425" s="179"/>
      <c r="U425" s="361"/>
      <c r="V425" s="179"/>
      <c r="W425" s="361"/>
      <c r="X425" s="179"/>
      <c r="Y425" s="361"/>
      <c r="Z425" s="354" t="s">
        <v>2978</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2551</v>
      </c>
      <c r="W430" s="361">
        <v>43069</v>
      </c>
      <c r="X430" s="179"/>
      <c r="Y430" s="361"/>
      <c r="Z430" s="354" t="s">
        <v>3648</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2245</v>
      </c>
      <c r="U434" s="361">
        <v>42867</v>
      </c>
      <c r="V434" s="179"/>
      <c r="W434" s="361"/>
      <c r="X434" s="179"/>
      <c r="Y434" s="361"/>
      <c r="Z434" s="354" t="s">
        <v>2931</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2417</v>
      </c>
      <c r="Y436" s="361">
        <v>43040</v>
      </c>
      <c r="Z436" s="354" t="s">
        <v>3649</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2934</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2979</v>
      </c>
      <c r="S452" s="361">
        <v>42886</v>
      </c>
      <c r="T452" s="179" t="s">
        <v>978</v>
      </c>
      <c r="U452" s="361">
        <v>42931</v>
      </c>
      <c r="V452" s="179"/>
      <c r="W452" s="361"/>
      <c r="X452" s="179"/>
      <c r="Y452" s="361"/>
      <c r="Z452" s="354" t="s">
        <v>2980</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2462</v>
      </c>
      <c r="S464" s="361">
        <v>43128</v>
      </c>
      <c r="T464" s="179" t="s">
        <v>3868</v>
      </c>
      <c r="U464" s="361">
        <v>43159</v>
      </c>
      <c r="V464" s="179"/>
      <c r="W464" s="361"/>
      <c r="X464" s="179"/>
      <c r="Y464" s="361"/>
      <c r="Z464" s="354" t="s">
        <v>2448</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2857</v>
      </c>
      <c r="U466" s="361">
        <v>42825</v>
      </c>
      <c r="V466" s="179"/>
      <c r="W466" s="361"/>
      <c r="X466" s="179"/>
      <c r="Y466" s="361"/>
      <c r="Z466" s="354" t="s">
        <v>2858</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5" t="s">
        <v>2937</v>
      </c>
      <c r="S476" s="361">
        <v>42871</v>
      </c>
      <c r="T476" s="179" t="s">
        <v>381</v>
      </c>
      <c r="U476" s="361">
        <v>42903</v>
      </c>
      <c r="V476" s="179" t="s">
        <v>2993</v>
      </c>
      <c r="W476" s="361">
        <v>42933</v>
      </c>
      <c r="X476" s="179"/>
      <c r="Y476" s="361"/>
      <c r="Z476" s="875" t="s">
        <v>2994</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2245</v>
      </c>
      <c r="W485" s="361">
        <v>42930</v>
      </c>
      <c r="X485" s="179"/>
      <c r="Y485" s="361"/>
      <c r="Z485" s="354" t="s">
        <v>2992</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1">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5" t="s">
        <v>3918</v>
      </c>
      <c r="S494" s="361">
        <v>43280</v>
      </c>
      <c r="T494" s="179"/>
      <c r="U494" s="361"/>
      <c r="V494" s="179"/>
      <c r="W494" s="361"/>
      <c r="X494" s="179"/>
      <c r="Y494" s="361"/>
      <c r="Z494" s="875" t="s">
        <v>3918</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5" t="s">
        <v>3903</v>
      </c>
      <c r="S497" s="361">
        <v>43280</v>
      </c>
      <c r="T497" s="179"/>
      <c r="U497" s="361"/>
      <c r="V497" s="179"/>
      <c r="W497" s="361"/>
      <c r="X497" s="179"/>
      <c r="Y497" s="361"/>
      <c r="Z497" s="875" t="s">
        <v>3903</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5" t="s">
        <v>976</v>
      </c>
      <c r="S498" s="361">
        <v>43280</v>
      </c>
      <c r="T498" s="179" t="s">
        <v>381</v>
      </c>
      <c r="U498" s="361">
        <v>43310</v>
      </c>
      <c r="V498" s="179"/>
      <c r="W498" s="361"/>
      <c r="X498" s="179"/>
      <c r="Y498" s="361"/>
      <c r="Z498" s="875"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5" t="s">
        <v>3772</v>
      </c>
      <c r="S499" s="361">
        <v>43131</v>
      </c>
      <c r="T499" s="179" t="s">
        <v>380</v>
      </c>
      <c r="U499" s="361">
        <v>43251</v>
      </c>
      <c r="V499" s="179"/>
      <c r="W499" s="361"/>
      <c r="X499" s="179"/>
      <c r="Y499" s="361"/>
      <c r="Z499" s="875" t="s">
        <v>3878</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5" t="s">
        <v>3869</v>
      </c>
      <c r="S503" s="361">
        <v>43280</v>
      </c>
      <c r="T503" s="179"/>
      <c r="U503" s="361"/>
      <c r="V503" s="179"/>
      <c r="W503" s="361"/>
      <c r="X503" s="179"/>
      <c r="Y503" s="361"/>
      <c r="Z503" s="875" t="s">
        <v>3869</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5" t="s">
        <v>2593</v>
      </c>
      <c r="S504" s="361">
        <v>43260</v>
      </c>
      <c r="T504" s="179"/>
      <c r="U504" s="361"/>
      <c r="V504" s="179"/>
      <c r="W504" s="361"/>
      <c r="X504" s="179"/>
      <c r="Y504" s="361"/>
      <c r="Z504" s="354" t="s">
        <v>2593</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5" t="s">
        <v>3889</v>
      </c>
      <c r="S506" s="361">
        <v>43280</v>
      </c>
      <c r="T506" s="179"/>
      <c r="U506" s="361"/>
      <c r="V506" s="179"/>
      <c r="W506" s="361"/>
      <c r="X506" s="179"/>
      <c r="Y506" s="361"/>
      <c r="Z506" s="875" t="s">
        <v>3889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5" t="s">
        <v>3867</v>
      </c>
      <c r="S508" s="361">
        <v>43260</v>
      </c>
      <c r="T508" s="179"/>
      <c r="U508" s="361"/>
      <c r="V508" s="179"/>
      <c r="W508" s="361"/>
      <c r="X508" s="179"/>
      <c r="Y508" s="361"/>
      <c r="Z508" s="875" t="s">
        <v>3867</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5" t="s">
        <v>3867</v>
      </c>
      <c r="S509" s="361">
        <v>43261</v>
      </c>
      <c r="T509" s="179"/>
      <c r="U509" s="361"/>
      <c r="V509" s="179"/>
      <c r="W509" s="361"/>
      <c r="X509" s="179"/>
      <c r="Y509" s="361"/>
      <c r="Z509" s="875" t="s">
        <v>3867</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5" t="s">
        <v>3932</v>
      </c>
      <c r="S511" s="361">
        <v>43222</v>
      </c>
      <c r="T511" s="179"/>
      <c r="U511" s="361"/>
      <c r="V511" s="179"/>
      <c r="W511" s="361"/>
      <c r="X511" s="179"/>
      <c r="Y511" s="361"/>
      <c r="Z511" s="875" t="s">
        <v>3932</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5" t="s">
        <v>3888</v>
      </c>
      <c r="S512" s="361">
        <v>43280</v>
      </c>
      <c r="T512" s="179"/>
      <c r="U512" s="361"/>
      <c r="V512" s="179"/>
      <c r="W512" s="361"/>
      <c r="X512" s="179"/>
      <c r="Y512" s="361"/>
      <c r="Z512" s="875" t="s">
        <v>3888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5" t="s">
        <v>3867</v>
      </c>
      <c r="S513" s="361">
        <v>43268</v>
      </c>
      <c r="T513" s="179"/>
      <c r="U513" s="361"/>
      <c r="V513" s="179"/>
      <c r="W513" s="361"/>
      <c r="X513" s="179"/>
      <c r="Y513" s="361"/>
      <c r="Z513" s="354" t="s">
        <v>3879</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5" t="s">
        <v>3877</v>
      </c>
      <c r="S514" s="361">
        <v>43280</v>
      </c>
      <c r="T514" s="179"/>
      <c r="U514" s="361"/>
      <c r="V514" s="179"/>
      <c r="W514" s="361"/>
      <c r="X514" s="179"/>
      <c r="Y514" s="361"/>
      <c r="Z514" s="354" t="s">
        <v>3877</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5" t="s">
        <v>3877</v>
      </c>
      <c r="S515" s="361">
        <v>43280</v>
      </c>
      <c r="T515" s="179"/>
      <c r="U515" s="361"/>
      <c r="V515" s="179"/>
      <c r="W515" s="361"/>
      <c r="X515" s="179"/>
      <c r="Y515" s="361"/>
      <c r="Z515" s="875" t="s">
        <v>3877</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3969</v>
      </c>
      <c r="S516" s="361">
        <v>43283</v>
      </c>
      <c r="T516" s="179" t="s">
        <v>379</v>
      </c>
      <c r="U516" s="361">
        <v>43375</v>
      </c>
      <c r="V516" s="179"/>
      <c r="W516" s="361"/>
      <c r="X516" s="179"/>
      <c r="Y516" s="361"/>
      <c r="Z516" s="354" t="s">
        <v>4149</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c r="AT516" s="361">
        <v>43357</v>
      </c>
      <c r="AU516" s="91">
        <f t="shared" si="39"/>
        <v>516258602</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5" t="s">
        <v>3867</v>
      </c>
      <c r="S518" s="361">
        <v>43269</v>
      </c>
      <c r="T518" s="179"/>
      <c r="U518" s="361"/>
      <c r="V518" s="179"/>
      <c r="W518" s="361"/>
      <c r="X518" s="179"/>
      <c r="Y518" s="361"/>
      <c r="Z518" s="354" t="s">
        <v>3867</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5" t="s">
        <v>3885</v>
      </c>
      <c r="S519" s="361">
        <v>43273</v>
      </c>
      <c r="T519" s="179"/>
      <c r="U519" s="361"/>
      <c r="V519" s="179"/>
      <c r="W519" s="361"/>
      <c r="X519" s="179"/>
      <c r="Y519" s="361"/>
      <c r="Z519" s="875" t="s">
        <v>3885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5" t="s">
        <v>3894</v>
      </c>
      <c r="S520" s="361">
        <v>43273</v>
      </c>
      <c r="T520" s="179"/>
      <c r="U520" s="361"/>
      <c r="V520" s="179"/>
      <c r="W520" s="361"/>
      <c r="X520" s="179"/>
      <c r="Y520" s="361"/>
      <c r="Z520" s="875" t="s">
        <v>3894</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5" t="s">
        <v>2376</v>
      </c>
      <c r="S521" s="361">
        <v>43278</v>
      </c>
      <c r="T521" s="179"/>
      <c r="U521" s="361"/>
      <c r="V521" s="179"/>
      <c r="W521" s="361"/>
      <c r="X521" s="179"/>
      <c r="Y521" s="361"/>
      <c r="Z521" s="875"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1">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5" t="s">
        <v>3890</v>
      </c>
      <c r="S524" s="361">
        <v>43280</v>
      </c>
      <c r="T524" s="179"/>
      <c r="U524" s="361"/>
      <c r="V524" s="179"/>
      <c r="W524" s="361"/>
      <c r="X524" s="179"/>
      <c r="Y524" s="361"/>
      <c r="Z524" s="875" t="s">
        <v>3890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5" t="s">
        <v>3891</v>
      </c>
      <c r="S525" s="361">
        <v>43280</v>
      </c>
      <c r="T525" s="179"/>
      <c r="U525" s="361"/>
      <c r="V525" s="179"/>
      <c r="W525" s="361"/>
      <c r="X525" s="179"/>
      <c r="Y525" s="361"/>
      <c r="Z525" s="875" t="s">
        <v>3891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5" t="s">
        <v>3895</v>
      </c>
      <c r="S526" s="361">
        <v>43280</v>
      </c>
      <c r="T526" s="179"/>
      <c r="U526" s="361"/>
      <c r="V526" s="179"/>
      <c r="W526" s="361"/>
      <c r="X526" s="179"/>
      <c r="Y526" s="361"/>
      <c r="Z526" s="875" t="s">
        <v>3895</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5" t="s">
        <v>3870</v>
      </c>
      <c r="S527" s="361">
        <v>43280</v>
      </c>
      <c r="T527" s="179"/>
      <c r="U527" s="361"/>
      <c r="V527" s="179"/>
      <c r="W527" s="361"/>
      <c r="X527" s="179"/>
      <c r="Y527" s="361"/>
      <c r="Z527" s="875" t="s">
        <v>3870</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5" t="s">
        <v>3871</v>
      </c>
      <c r="S528" s="361">
        <v>43280</v>
      </c>
      <c r="T528" s="179"/>
      <c r="U528" s="361"/>
      <c r="V528" s="179"/>
      <c r="W528" s="361"/>
      <c r="X528" s="179"/>
      <c r="Y528" s="361"/>
      <c r="Z528" s="875" t="s">
        <v>3871</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4008</v>
      </c>
      <c r="S529" s="361">
        <v>43299</v>
      </c>
      <c r="T529" s="179"/>
      <c r="U529" s="361"/>
      <c r="V529" s="179"/>
      <c r="W529" s="361"/>
      <c r="X529" s="179"/>
      <c r="Y529" s="361"/>
      <c r="Z529" s="284" t="s">
        <v>4008</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5" t="s">
        <v>3869</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c r="AP533" s="237"/>
      <c r="AQ533" s="237"/>
      <c r="AR533" s="237"/>
      <c r="AS533" s="237"/>
      <c r="AT533" s="361">
        <v>43364</v>
      </c>
      <c r="AU533" s="91">
        <f t="shared" si="39"/>
        <v>44394246</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5" t="s">
        <v>3970</v>
      </c>
      <c r="S535" s="361">
        <v>43281</v>
      </c>
      <c r="T535" s="179"/>
      <c r="U535" s="361"/>
      <c r="V535" s="179"/>
      <c r="W535" s="361"/>
      <c r="X535" s="179"/>
      <c r="Y535" s="361"/>
      <c r="Z535" s="875" t="s">
        <v>3970</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5" t="s">
        <v>3738</v>
      </c>
      <c r="S539" s="361">
        <v>43134</v>
      </c>
      <c r="T539" s="178" t="s">
        <v>3886</v>
      </c>
      <c r="U539" s="361">
        <v>43231</v>
      </c>
      <c r="V539" s="179"/>
      <c r="W539" s="361"/>
      <c r="X539" s="179"/>
      <c r="Y539" s="361"/>
      <c r="Z539" s="354" t="s">
        <v>3887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5" t="s">
        <v>966</v>
      </c>
      <c r="S541" s="361">
        <v>43312</v>
      </c>
      <c r="T541" s="179"/>
      <c r="U541" s="361"/>
      <c r="V541" s="179"/>
      <c r="W541" s="361"/>
      <c r="X541" s="179"/>
      <c r="Y541" s="361"/>
      <c r="Z541" s="875"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1">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2211</v>
      </c>
      <c r="AA542" s="89">
        <f t="shared" si="38"/>
        <v>43320</v>
      </c>
      <c r="AB542" s="237">
        <v>44511762</v>
      </c>
      <c r="AC542" s="237">
        <v>44511762</v>
      </c>
      <c r="AD542" s="237">
        <v>44511762</v>
      </c>
      <c r="AE542" s="237">
        <v>44511762</v>
      </c>
      <c r="AF542" s="237">
        <v>44511762</v>
      </c>
      <c r="AG542" s="237"/>
      <c r="AH542" s="237"/>
      <c r="AI542" s="237"/>
      <c r="AJ542" s="237"/>
      <c r="AK542" s="237"/>
      <c r="AL542" s="237"/>
      <c r="AM542" s="237"/>
      <c r="AN542" s="237"/>
      <c r="AO542" s="237"/>
      <c r="AP542" s="237"/>
      <c r="AQ542" s="237"/>
      <c r="AR542" s="237"/>
      <c r="AS542" s="237"/>
      <c r="AT542" s="361">
        <v>43328</v>
      </c>
      <c r="AU542" s="91">
        <f t="shared" si="39"/>
        <v>222558810</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c r="AK543" s="237"/>
      <c r="AL543" s="237"/>
      <c r="AM543" s="237"/>
      <c r="AN543" s="237"/>
      <c r="AO543" s="237"/>
      <c r="AP543" s="237"/>
      <c r="AQ543" s="237"/>
      <c r="AR543" s="237"/>
      <c r="AS543" s="237"/>
      <c r="AT543" s="361">
        <v>43256</v>
      </c>
      <c r="AU543" s="91">
        <f t="shared" si="39"/>
        <v>860255948</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5" t="s">
        <v>3971</v>
      </c>
      <c r="S546" s="361">
        <v>43280</v>
      </c>
      <c r="T546" s="179"/>
      <c r="U546" s="361"/>
      <c r="V546" s="179"/>
      <c r="W546" s="361"/>
      <c r="X546" s="179"/>
      <c r="Y546" s="361"/>
      <c r="Z546" s="875" t="s">
        <v>3971</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5" t="s">
        <v>3884</v>
      </c>
      <c r="S548" s="361">
        <v>43281</v>
      </c>
      <c r="T548" s="179"/>
      <c r="U548" s="361"/>
      <c r="V548" s="179"/>
      <c r="W548" s="361"/>
      <c r="X548" s="179"/>
      <c r="Y548" s="361"/>
      <c r="Z548" s="875" t="s">
        <v>3884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5" t="s">
        <v>3930</v>
      </c>
      <c r="S550" s="361">
        <v>43280</v>
      </c>
      <c r="T550" s="179"/>
      <c r="U550" s="361"/>
      <c r="V550" s="179"/>
      <c r="W550" s="361"/>
      <c r="X550" s="179"/>
      <c r="Y550" s="361"/>
      <c r="Z550" s="875" t="s">
        <v>3930</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1">
        <v>43354</v>
      </c>
      <c r="K555" s="237"/>
      <c r="L555" s="364"/>
      <c r="M555" s="179"/>
      <c r="N555" s="361"/>
      <c r="O555" s="179"/>
      <c r="P555" s="366"/>
      <c r="Q555" s="86">
        <f t="shared" si="37"/>
        <v>130000000</v>
      </c>
      <c r="R555" s="284" t="s">
        <v>379</v>
      </c>
      <c r="S555" s="361">
        <v>43446</v>
      </c>
      <c r="T555" s="179"/>
      <c r="U555" s="361"/>
      <c r="V555" s="179"/>
      <c r="W555" s="361"/>
      <c r="X555" s="179"/>
      <c r="Y555" s="361"/>
      <c r="Z555" s="354" t="s">
        <v>379</v>
      </c>
      <c r="AA555" s="89">
        <f t="shared" si="38"/>
        <v>43446</v>
      </c>
      <c r="AB555" s="237">
        <v>9084052</v>
      </c>
      <c r="AC555" s="237">
        <v>14588159</v>
      </c>
      <c r="AD555" s="237"/>
      <c r="AE555" s="237">
        <v>46820758</v>
      </c>
      <c r="AF555" s="237">
        <v>43503732</v>
      </c>
      <c r="AG555" s="237">
        <v>52263284</v>
      </c>
      <c r="AH555" s="237">
        <v>51536874</v>
      </c>
      <c r="AI555" s="237">
        <v>15189491</v>
      </c>
      <c r="AJ555" s="237"/>
      <c r="AK555" s="237"/>
      <c r="AL555" s="237"/>
      <c r="AM555" s="237"/>
      <c r="AN555" s="237"/>
      <c r="AO555" s="237"/>
      <c r="AP555" s="237"/>
      <c r="AQ555" s="237"/>
      <c r="AR555" s="237"/>
      <c r="AS555" s="237"/>
      <c r="AT555" s="361">
        <v>43346</v>
      </c>
      <c r="AU555" s="91">
        <f t="shared" si="39"/>
        <v>232986350</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5" t="s">
        <v>4031</v>
      </c>
      <c r="S557" s="361">
        <v>43312</v>
      </c>
      <c r="T557" s="179" t="s">
        <v>381</v>
      </c>
      <c r="U557" s="361">
        <v>43343</v>
      </c>
      <c r="V557" s="179" t="s">
        <v>2462</v>
      </c>
      <c r="W557" s="361">
        <v>43373</v>
      </c>
      <c r="X557" s="179"/>
      <c r="Y557" s="361"/>
      <c r="Z557" s="875" t="s">
        <v>1536</v>
      </c>
      <c r="AA557" s="89">
        <f t="shared" si="38"/>
        <v>43373</v>
      </c>
      <c r="AB557" s="237">
        <v>25964600</v>
      </c>
      <c r="AC557" s="237">
        <v>343331000</v>
      </c>
      <c r="AD557" s="237"/>
      <c r="AE557" s="237"/>
      <c r="AF557" s="237"/>
      <c r="AG557" s="237"/>
      <c r="AH557" s="237"/>
      <c r="AI557" s="237">
        <v>30472500</v>
      </c>
      <c r="AJ557" s="237"/>
      <c r="AK557" s="237"/>
      <c r="AL557" s="237"/>
      <c r="AM557" s="237">
        <v>78255000</v>
      </c>
      <c r="AN557" s="237"/>
      <c r="AO557" s="237"/>
      <c r="AP557" s="237"/>
      <c r="AQ557" s="237"/>
      <c r="AR557" s="237"/>
      <c r="AS557" s="237"/>
      <c r="AT557" s="361">
        <v>43300</v>
      </c>
      <c r="AU557" s="91">
        <f t="shared" si="39"/>
        <v>478023100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5" t="s">
        <v>3777</v>
      </c>
      <c r="S562" s="361">
        <v>43125</v>
      </c>
      <c r="T562" s="179"/>
      <c r="U562" s="361"/>
      <c r="V562" s="179"/>
      <c r="W562" s="361"/>
      <c r="X562" s="179"/>
      <c r="Y562" s="361"/>
      <c r="Z562" s="354" t="s">
        <v>3777</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5" t="s">
        <v>3917</v>
      </c>
      <c r="S565" s="361">
        <v>43217</v>
      </c>
      <c r="T565" s="178" t="s">
        <v>3978</v>
      </c>
      <c r="U565" s="361">
        <v>43248</v>
      </c>
      <c r="V565" s="179"/>
      <c r="W565" s="361"/>
      <c r="X565" s="179"/>
      <c r="Y565" s="361"/>
      <c r="Z565" s="875" t="s">
        <v>3979</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v>7289981</v>
      </c>
      <c r="AE567" s="237"/>
      <c r="AF567" s="237"/>
      <c r="AG567" s="237"/>
      <c r="AH567" s="237"/>
      <c r="AI567" s="237"/>
      <c r="AJ567" s="237"/>
      <c r="AK567" s="237"/>
      <c r="AL567" s="237"/>
      <c r="AM567" s="237"/>
      <c r="AN567" s="237"/>
      <c r="AO567" s="237"/>
      <c r="AP567" s="237"/>
      <c r="AQ567" s="237"/>
      <c r="AR567" s="237"/>
      <c r="AS567" s="237"/>
      <c r="AT567" s="361">
        <v>43367</v>
      </c>
      <c r="AU567" s="91">
        <f t="shared" si="39"/>
        <v>91023796</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1">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5" t="s">
        <v>3919</v>
      </c>
      <c r="S571" s="361">
        <v>43247</v>
      </c>
      <c r="T571" s="179" t="s">
        <v>381</v>
      </c>
      <c r="U571" s="361">
        <v>43278</v>
      </c>
      <c r="V571" s="179"/>
      <c r="W571" s="361"/>
      <c r="X571" s="179"/>
      <c r="Y571" s="361"/>
      <c r="Z571" s="875" t="s">
        <v>4007</v>
      </c>
      <c r="AA571" s="89">
        <f t="shared" si="38"/>
        <v>43278</v>
      </c>
      <c r="AB571" s="237">
        <v>2000000</v>
      </c>
      <c r="AC571" s="237">
        <v>2000000</v>
      </c>
      <c r="AD571" s="237">
        <v>2000000</v>
      </c>
      <c r="AE571" s="237">
        <v>2000000</v>
      </c>
      <c r="AF571" s="237">
        <v>4133333</v>
      </c>
      <c r="AG571" s="237"/>
      <c r="AH571" s="237"/>
      <c r="AI571" s="237"/>
      <c r="AJ571" s="237"/>
      <c r="AK571" s="237"/>
      <c r="AL571" s="237"/>
      <c r="AM571" s="237"/>
      <c r="AN571" s="237"/>
      <c r="AO571" s="237"/>
      <c r="AP571" s="237"/>
      <c r="AQ571" s="237"/>
      <c r="AR571" s="237"/>
      <c r="AS571" s="237"/>
      <c r="AT571" s="361">
        <v>43174</v>
      </c>
      <c r="AU571" s="91">
        <f t="shared" si="39"/>
        <v>12133333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5" t="s">
        <v>976</v>
      </c>
      <c r="S576" s="361">
        <v>43343</v>
      </c>
      <c r="T576" s="179"/>
      <c r="U576" s="361"/>
      <c r="V576" s="179"/>
      <c r="W576" s="361"/>
      <c r="X576" s="179"/>
      <c r="Y576" s="361"/>
      <c r="Z576" s="875"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1">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c r="AG578" s="237"/>
      <c r="AH578" s="237"/>
      <c r="AI578" s="237"/>
      <c r="AJ578" s="237"/>
      <c r="AK578" s="237"/>
      <c r="AL578" s="237"/>
      <c r="AM578" s="237"/>
      <c r="AN578" s="237"/>
      <c r="AO578" s="237"/>
      <c r="AP578" s="237"/>
      <c r="AQ578" s="237"/>
      <c r="AR578" s="237"/>
      <c r="AS578" s="237"/>
      <c r="AT578" s="361">
        <v>43356</v>
      </c>
      <c r="AU578" s="91">
        <f t="shared" si="42"/>
        <v>152000000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1">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c r="S581" s="361"/>
      <c r="T581" s="179"/>
      <c r="U581" s="361"/>
      <c r="V581" s="179"/>
      <c r="W581" s="361"/>
      <c r="X581" s="179"/>
      <c r="Y581" s="361"/>
      <c r="Z581" s="354"/>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c r="AF585" s="237"/>
      <c r="AG585" s="237"/>
      <c r="AH585" s="237"/>
      <c r="AI585" s="237"/>
      <c r="AJ585" s="237"/>
      <c r="AK585" s="237"/>
      <c r="AL585" s="237"/>
      <c r="AM585" s="237"/>
      <c r="AN585" s="237"/>
      <c r="AO585" s="237"/>
      <c r="AP585" s="237"/>
      <c r="AQ585" s="237"/>
      <c r="AR585" s="237"/>
      <c r="AS585" s="237"/>
      <c r="AT585" s="361">
        <v>43329</v>
      </c>
      <c r="AU585" s="91">
        <f t="shared" si="42"/>
        <v>154330000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c r="AC587" s="237"/>
      <c r="AD587" s="237"/>
      <c r="AE587" s="237"/>
      <c r="AF587" s="237"/>
      <c r="AG587" s="237"/>
      <c r="AH587" s="237"/>
      <c r="AI587" s="237"/>
      <c r="AJ587" s="237"/>
      <c r="AK587" s="237"/>
      <c r="AL587" s="237"/>
      <c r="AM587" s="237"/>
      <c r="AN587" s="237"/>
      <c r="AO587" s="237"/>
      <c r="AP587" s="237"/>
      <c r="AQ587" s="237"/>
      <c r="AR587" s="237"/>
      <c r="AS587" s="237"/>
      <c r="AT587" s="361"/>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1"/>
      <c r="K588" s="237"/>
      <c r="L588" s="364"/>
      <c r="M588" s="179"/>
      <c r="N588" s="361"/>
      <c r="O588" s="179"/>
      <c r="P588" s="366"/>
      <c r="Q588" s="86">
        <f t="shared" si="40"/>
        <v>0</v>
      </c>
      <c r="R588" s="284"/>
      <c r="S588" s="361"/>
      <c r="T588" s="179"/>
      <c r="U588" s="361"/>
      <c r="V588" s="179"/>
      <c r="W588" s="361"/>
      <c r="X588" s="179"/>
      <c r="Y588" s="361"/>
      <c r="Z588" s="354"/>
      <c r="AA588" s="89">
        <f t="shared" si="41"/>
        <v>0</v>
      </c>
      <c r="AB588" s="237">
        <v>32563747</v>
      </c>
      <c r="AC588" s="237"/>
      <c r="AD588" s="237"/>
      <c r="AE588" s="237"/>
      <c r="AF588" s="237"/>
      <c r="AG588" s="237"/>
      <c r="AH588" s="237"/>
      <c r="AI588" s="237"/>
      <c r="AJ588" s="237"/>
      <c r="AK588" s="237"/>
      <c r="AL588" s="237"/>
      <c r="AM588" s="237"/>
      <c r="AN588" s="237"/>
      <c r="AO588" s="237"/>
      <c r="AP588" s="237"/>
      <c r="AQ588" s="237"/>
      <c r="AR588" s="237"/>
      <c r="AS588" s="237"/>
      <c r="AT588" s="361">
        <v>43228</v>
      </c>
      <c r="AU588" s="91">
        <f t="shared" si="42"/>
        <v>32563747</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c r="AD589" s="237"/>
      <c r="AE589" s="237"/>
      <c r="AF589" s="237"/>
      <c r="AG589" s="237"/>
      <c r="AH589" s="237"/>
      <c r="AI589" s="237"/>
      <c r="AJ589" s="237"/>
      <c r="AK589" s="237"/>
      <c r="AL589" s="237"/>
      <c r="AM589" s="237"/>
      <c r="AN589" s="237"/>
      <c r="AO589" s="237"/>
      <c r="AP589" s="237"/>
      <c r="AQ589" s="237"/>
      <c r="AR589" s="237"/>
      <c r="AS589" s="237"/>
      <c r="AT589" s="361">
        <v>43328</v>
      </c>
      <c r="AU589" s="91">
        <f t="shared" ref="AU589:AU601" si="45">SUM(AB589:AR589)</f>
        <v>3488701</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1"/>
      <c r="K591" s="237"/>
      <c r="L591" s="364"/>
      <c r="M591" s="179"/>
      <c r="N591" s="361"/>
      <c r="O591" s="179"/>
      <c r="P591" s="366"/>
      <c r="Q591" s="86">
        <f t="shared" si="43"/>
        <v>0</v>
      </c>
      <c r="R591" s="284"/>
      <c r="S591" s="361"/>
      <c r="T591" s="179"/>
      <c r="U591" s="361"/>
      <c r="V591" s="179"/>
      <c r="W591" s="361"/>
      <c r="X591" s="179"/>
      <c r="Y591" s="361"/>
      <c r="Z591" s="354"/>
      <c r="AA591" s="89">
        <f t="shared" si="44"/>
        <v>0</v>
      </c>
      <c r="AB591" s="237">
        <v>1041667</v>
      </c>
      <c r="AC591" s="237">
        <v>1041667</v>
      </c>
      <c r="AD591" s="237">
        <v>1041667</v>
      </c>
      <c r="AE591" s="237">
        <v>1041667</v>
      </c>
      <c r="AF591" s="237">
        <v>1041667</v>
      </c>
      <c r="AG591" s="237">
        <v>1041667</v>
      </c>
      <c r="AH591" s="237">
        <v>1041667</v>
      </c>
      <c r="AI591" s="237"/>
      <c r="AJ591" s="237"/>
      <c r="AK591" s="237"/>
      <c r="AL591" s="237"/>
      <c r="AM591" s="237"/>
      <c r="AN591" s="237"/>
      <c r="AO591" s="237"/>
      <c r="AP591" s="237"/>
      <c r="AQ591" s="237"/>
      <c r="AR591" s="237"/>
      <c r="AS591" s="237"/>
      <c r="AT591" s="361">
        <v>43320</v>
      </c>
      <c r="AU591" s="91">
        <f t="shared" si="45"/>
        <v>7291669</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v>26000000</v>
      </c>
      <c r="L596" s="364">
        <v>43355</v>
      </c>
      <c r="M596" s="179"/>
      <c r="N596" s="361"/>
      <c r="O596" s="179"/>
      <c r="P596" s="366"/>
      <c r="Q596" s="86">
        <f t="shared" si="43"/>
        <v>28639250</v>
      </c>
      <c r="R596" s="875" t="s">
        <v>4332</v>
      </c>
      <c r="S596" s="361">
        <v>43402</v>
      </c>
      <c r="T596" s="179"/>
      <c r="U596" s="361"/>
      <c r="V596" s="179"/>
      <c r="W596" s="361"/>
      <c r="X596" s="179"/>
      <c r="Y596" s="361"/>
      <c r="Z596" s="875" t="s">
        <v>4332</v>
      </c>
      <c r="AA596" s="89">
        <f t="shared" si="44"/>
        <v>43402</v>
      </c>
      <c r="AB596" s="237">
        <v>7064218</v>
      </c>
      <c r="AC596" s="237">
        <v>138488182</v>
      </c>
      <c r="AD596" s="237">
        <v>19729</v>
      </c>
      <c r="AE596" s="237">
        <v>1427870</v>
      </c>
      <c r="AF596" s="237">
        <v>1043230</v>
      </c>
      <c r="AG596" s="237"/>
      <c r="AH596" s="237"/>
      <c r="AI596" s="237"/>
      <c r="AJ596" s="237"/>
      <c r="AK596" s="237"/>
      <c r="AL596" s="237"/>
      <c r="AM596" s="237"/>
      <c r="AN596" s="237"/>
      <c r="AO596" s="237"/>
      <c r="AP596" s="237"/>
      <c r="AQ596" s="237"/>
      <c r="AR596" s="237"/>
      <c r="AS596" s="237"/>
      <c r="AT596" s="361">
        <v>43329</v>
      </c>
      <c r="AU596" s="91">
        <f t="shared" si="45"/>
        <v>148043229</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c r="AE598" s="237"/>
      <c r="AF598" s="237"/>
      <c r="AG598" s="237"/>
      <c r="AH598" s="237"/>
      <c r="AI598" s="237"/>
      <c r="AJ598" s="237"/>
      <c r="AK598" s="237"/>
      <c r="AL598" s="237"/>
      <c r="AM598" s="237"/>
      <c r="AN598" s="237"/>
      <c r="AO598" s="237"/>
      <c r="AP598" s="237"/>
      <c r="AQ598" s="237"/>
      <c r="AR598" s="237"/>
      <c r="AS598" s="237"/>
      <c r="AT598" s="361">
        <v>43356</v>
      </c>
      <c r="AU598" s="91">
        <f t="shared" si="45"/>
        <v>420814777</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v>41067596</v>
      </c>
      <c r="AJ601" s="237"/>
      <c r="AK601" s="237"/>
      <c r="AL601" s="237"/>
      <c r="AM601" s="237"/>
      <c r="AN601" s="237"/>
      <c r="AO601" s="237"/>
      <c r="AP601" s="237"/>
      <c r="AQ601" s="237"/>
      <c r="AR601" s="237"/>
      <c r="AS601" s="237"/>
      <c r="AT601" s="361">
        <v>43363</v>
      </c>
      <c r="AU601" s="91">
        <f t="shared" si="45"/>
        <v>286638517</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4232</v>
      </c>
      <c r="U603" s="361">
        <v>43342</v>
      </c>
      <c r="V603" s="179"/>
      <c r="W603" s="361"/>
      <c r="X603" s="179"/>
      <c r="Y603" s="361"/>
      <c r="Z603" s="354" t="s">
        <v>4233</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1">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v>5871000</v>
      </c>
      <c r="AI605" s="237"/>
      <c r="AJ605" s="237"/>
      <c r="AK605" s="237"/>
      <c r="AL605" s="237"/>
      <c r="AM605" s="237"/>
      <c r="AN605" s="237"/>
      <c r="AO605" s="237"/>
      <c r="AP605" s="237"/>
      <c r="AQ605" s="237"/>
      <c r="AR605" s="237"/>
      <c r="AS605" s="237"/>
      <c r="AT605" s="361">
        <v>43361</v>
      </c>
      <c r="AU605" s="91">
        <f t="shared" si="48"/>
        <v>41097000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c r="AI607" s="237"/>
      <c r="AJ607" s="237"/>
      <c r="AK607" s="237"/>
      <c r="AL607" s="237"/>
      <c r="AM607" s="237"/>
      <c r="AN607" s="237"/>
      <c r="AO607" s="237"/>
      <c r="AP607" s="237"/>
      <c r="AQ607" s="237"/>
      <c r="AR607" s="237"/>
      <c r="AS607" s="237"/>
      <c r="AT607" s="361">
        <v>43353</v>
      </c>
      <c r="AU607" s="91">
        <f t="shared" si="48"/>
        <v>42000000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v>5871000</v>
      </c>
      <c r="AI608" s="237"/>
      <c r="AJ608" s="237"/>
      <c r="AK608" s="237"/>
      <c r="AL608" s="237"/>
      <c r="AM608" s="237"/>
      <c r="AN608" s="237"/>
      <c r="AO608" s="237"/>
      <c r="AP608" s="237"/>
      <c r="AQ608" s="237"/>
      <c r="AR608" s="237"/>
      <c r="AS608" s="237"/>
      <c r="AT608" s="361">
        <v>43327</v>
      </c>
      <c r="AU608" s="91">
        <f t="shared" si="48"/>
        <v>40314200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284"/>
      <c r="S610" s="361"/>
      <c r="T610" s="179"/>
      <c r="U610" s="361"/>
      <c r="V610" s="179"/>
      <c r="W610" s="361"/>
      <c r="X610" s="179"/>
      <c r="Y610" s="361"/>
      <c r="Z610" s="354"/>
      <c r="AA610" s="89">
        <f t="shared" si="47"/>
        <v>0</v>
      </c>
      <c r="AB610" s="237">
        <v>5100000</v>
      </c>
      <c r="AC610" s="237">
        <v>1190000</v>
      </c>
      <c r="AD610" s="237">
        <v>5100000</v>
      </c>
      <c r="AE610" s="237">
        <v>5100000</v>
      </c>
      <c r="AF610" s="237">
        <v>5100000</v>
      </c>
      <c r="AG610" s="237">
        <v>5100000</v>
      </c>
      <c r="AH610" s="237"/>
      <c r="AI610" s="237"/>
      <c r="AJ610" s="237"/>
      <c r="AK610" s="237"/>
      <c r="AL610" s="237"/>
      <c r="AM610" s="237"/>
      <c r="AN610" s="237"/>
      <c r="AO610" s="237"/>
      <c r="AP610" s="237"/>
      <c r="AQ610" s="237"/>
      <c r="AR610" s="237"/>
      <c r="AS610" s="237"/>
      <c r="AT610" s="361">
        <v>43355</v>
      </c>
      <c r="AU610" s="91">
        <f t="shared" si="48"/>
        <v>26690000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v>4120000</v>
      </c>
      <c r="AG611" s="237">
        <v>4120000</v>
      </c>
      <c r="AH611" s="237"/>
      <c r="AI611" s="237"/>
      <c r="AJ611" s="237"/>
      <c r="AK611" s="237"/>
      <c r="AL611" s="237"/>
      <c r="AM611" s="237"/>
      <c r="AN611" s="237"/>
      <c r="AO611" s="237"/>
      <c r="AP611" s="237"/>
      <c r="AQ611" s="237"/>
      <c r="AR611" s="237"/>
      <c r="AS611" s="237"/>
      <c r="AT611" s="361">
        <v>43375</v>
      </c>
      <c r="AU611" s="91">
        <f t="shared" si="48"/>
        <v>24033333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c r="AD617" s="237"/>
      <c r="AE617" s="237"/>
      <c r="AF617" s="237"/>
      <c r="AG617" s="237"/>
      <c r="AH617" s="237"/>
      <c r="AI617" s="237"/>
      <c r="AJ617" s="237"/>
      <c r="AK617" s="237"/>
      <c r="AL617" s="237"/>
      <c r="AM617" s="237"/>
      <c r="AN617" s="237"/>
      <c r="AO617" s="237"/>
      <c r="AP617" s="237"/>
      <c r="AQ617" s="237"/>
      <c r="AR617" s="237"/>
      <c r="AS617" s="237"/>
      <c r="AT617" s="361">
        <v>43306</v>
      </c>
      <c r="AU617" s="91">
        <f t="shared" si="48"/>
        <v>197922875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1">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c r="AD620" s="237"/>
      <c r="AE620" s="237"/>
      <c r="AF620" s="237"/>
      <c r="AG620" s="237"/>
      <c r="AH620" s="237"/>
      <c r="AI620" s="237"/>
      <c r="AJ620" s="237"/>
      <c r="AK620" s="237"/>
      <c r="AL620" s="237"/>
      <c r="AM620" s="237"/>
      <c r="AN620" s="237"/>
      <c r="AO620" s="237"/>
      <c r="AP620" s="237"/>
      <c r="AQ620" s="237"/>
      <c r="AR620" s="237"/>
      <c r="AS620" s="237"/>
      <c r="AT620" s="361">
        <v>43313</v>
      </c>
      <c r="AU620" s="91">
        <f t="shared" si="48"/>
        <v>803361</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4151</v>
      </c>
      <c r="S621" s="361">
        <v>43322</v>
      </c>
      <c r="T621" s="179"/>
      <c r="U621" s="361"/>
      <c r="V621" s="179"/>
      <c r="W621" s="361"/>
      <c r="X621" s="179"/>
      <c r="Y621" s="361"/>
      <c r="Z621" s="284" t="s">
        <v>4151</v>
      </c>
      <c r="AA621" s="89">
        <f t="shared" si="47"/>
        <v>43322</v>
      </c>
      <c r="AB621" s="237"/>
      <c r="AC621" s="237"/>
      <c r="AD621" s="237"/>
      <c r="AE621" s="237"/>
      <c r="AF621" s="237"/>
      <c r="AG621" s="237"/>
      <c r="AH621" s="237"/>
      <c r="AI621" s="237"/>
      <c r="AJ621" s="237"/>
      <c r="AK621" s="237"/>
      <c r="AL621" s="237"/>
      <c r="AM621" s="237"/>
      <c r="AN621" s="237"/>
      <c r="AO621" s="237"/>
      <c r="AP621" s="237"/>
      <c r="AQ621" s="237"/>
      <c r="AR621" s="237"/>
      <c r="AS621" s="237"/>
      <c r="AT621" s="361"/>
      <c r="AU621" s="91">
        <f t="shared" si="48"/>
        <v>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v>84656413</v>
      </c>
      <c r="AE623" s="237">
        <v>1241135</v>
      </c>
      <c r="AF623" s="237">
        <v>85262865</v>
      </c>
      <c r="AG623" s="237"/>
      <c r="AH623" s="237"/>
      <c r="AI623" s="237"/>
      <c r="AJ623" s="237"/>
      <c r="AK623" s="237"/>
      <c r="AL623" s="237"/>
      <c r="AM623" s="237"/>
      <c r="AN623" s="237"/>
      <c r="AO623" s="237"/>
      <c r="AP623" s="237"/>
      <c r="AQ623" s="237"/>
      <c r="AR623" s="237"/>
      <c r="AS623" s="237"/>
      <c r="AT623" s="361">
        <v>43363</v>
      </c>
      <c r="AU623" s="91">
        <f t="shared" si="48"/>
        <v>310645269</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v>4432417</v>
      </c>
      <c r="AD626" s="237"/>
      <c r="AE626" s="237"/>
      <c r="AF626" s="237"/>
      <c r="AG626" s="237"/>
      <c r="AH626" s="237"/>
      <c r="AI626" s="237"/>
      <c r="AJ626" s="237"/>
      <c r="AK626" s="237"/>
      <c r="AL626" s="237"/>
      <c r="AM626" s="237"/>
      <c r="AN626" s="237"/>
      <c r="AO626" s="237"/>
      <c r="AP626" s="237"/>
      <c r="AQ626" s="237"/>
      <c r="AR626" s="237"/>
      <c r="AS626" s="237"/>
      <c r="AT626" s="361">
        <v>43364</v>
      </c>
      <c r="AU626" s="91">
        <f t="shared" si="48"/>
        <v>9887213</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1"/>
      <c r="AU627" s="91">
        <f t="shared" si="48"/>
        <v>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v>33141016</v>
      </c>
      <c r="AC628" s="237"/>
      <c r="AD628" s="237"/>
      <c r="AE628" s="237"/>
      <c r="AF628" s="237"/>
      <c r="AG628" s="237"/>
      <c r="AH628" s="237"/>
      <c r="AI628" s="237"/>
      <c r="AJ628" s="237"/>
      <c r="AK628" s="237"/>
      <c r="AL628" s="237"/>
      <c r="AM628" s="237"/>
      <c r="AN628" s="237"/>
      <c r="AO628" s="237"/>
      <c r="AP628" s="237"/>
      <c r="AQ628" s="237"/>
      <c r="AR628" s="237"/>
      <c r="AS628" s="237"/>
      <c r="AT628" s="361">
        <v>43362</v>
      </c>
      <c r="AU628" s="91">
        <f t="shared" si="48"/>
        <v>33141016</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1"/>
      <c r="AU629" s="91">
        <f t="shared" si="48"/>
        <v>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c r="S630" s="361"/>
      <c r="T630" s="179"/>
      <c r="U630" s="361"/>
      <c r="V630" s="179"/>
      <c r="W630" s="361"/>
      <c r="X630" s="179"/>
      <c r="Y630" s="361"/>
      <c r="Z630" s="354"/>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1"/>
      <c r="AU630" s="91">
        <f t="shared" si="48"/>
        <v>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1"/>
      <c r="AU631" s="91">
        <f t="shared" si="48"/>
        <v>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v>32137050</v>
      </c>
      <c r="AC632" s="237"/>
      <c r="AD632" s="237"/>
      <c r="AE632" s="237"/>
      <c r="AF632" s="237"/>
      <c r="AG632" s="237"/>
      <c r="AH632" s="237"/>
      <c r="AI632" s="237"/>
      <c r="AJ632" s="237"/>
      <c r="AK632" s="237"/>
      <c r="AL632" s="237"/>
      <c r="AM632" s="237"/>
      <c r="AN632" s="237"/>
      <c r="AO632" s="237"/>
      <c r="AP632" s="237"/>
      <c r="AQ632" s="237"/>
      <c r="AR632" s="237"/>
      <c r="AS632" s="237"/>
      <c r="AT632" s="361">
        <v>43367</v>
      </c>
      <c r="AU632" s="91">
        <f t="shared" si="48"/>
        <v>32137050</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1"/>
      <c r="AU633" s="91">
        <f t="shared" si="48"/>
        <v>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c r="AD634" s="237"/>
      <c r="AE634" s="237"/>
      <c r="AF634" s="237"/>
      <c r="AG634" s="237"/>
      <c r="AH634" s="237"/>
      <c r="AI634" s="237"/>
      <c r="AJ634" s="237"/>
      <c r="AK634" s="237"/>
      <c r="AL634" s="237"/>
      <c r="AM634" s="237"/>
      <c r="AN634" s="237"/>
      <c r="AO634" s="237"/>
      <c r="AP634" s="237"/>
      <c r="AQ634" s="237"/>
      <c r="AR634" s="237"/>
      <c r="AS634" s="237"/>
      <c r="AT634" s="361">
        <v>43329</v>
      </c>
      <c r="AU634" s="91">
        <f t="shared" si="48"/>
        <v>38022658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c r="S635" s="361"/>
      <c r="T635" s="179"/>
      <c r="U635" s="361"/>
      <c r="V635" s="179"/>
      <c r="W635" s="361"/>
      <c r="X635" s="179"/>
      <c r="Y635" s="361"/>
      <c r="Z635" s="354"/>
      <c r="AA635" s="89">
        <f t="shared" si="47"/>
        <v>0</v>
      </c>
      <c r="AB635" s="237">
        <v>578530</v>
      </c>
      <c r="AC635" s="237"/>
      <c r="AD635" s="237"/>
      <c r="AE635" s="237"/>
      <c r="AF635" s="237"/>
      <c r="AG635" s="237"/>
      <c r="AH635" s="237"/>
      <c r="AI635" s="237"/>
      <c r="AJ635" s="237"/>
      <c r="AK635" s="237"/>
      <c r="AL635" s="237"/>
      <c r="AM635" s="237"/>
      <c r="AN635" s="237"/>
      <c r="AO635" s="237"/>
      <c r="AP635" s="237"/>
      <c r="AQ635" s="237"/>
      <c r="AR635" s="237"/>
      <c r="AS635" s="237"/>
      <c r="AT635" s="361">
        <v>43364</v>
      </c>
      <c r="AU635" s="91">
        <f t="shared" si="48"/>
        <v>578530</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c r="J637" s="361"/>
      <c r="K637" s="237"/>
      <c r="L637" s="364"/>
      <c r="M637" s="179"/>
      <c r="N637" s="361"/>
      <c r="O637" s="179"/>
      <c r="P637" s="366"/>
      <c r="Q637" s="86">
        <f t="shared" si="46"/>
        <v>0</v>
      </c>
      <c r="R637" s="875" t="s">
        <v>4353</v>
      </c>
      <c r="S637" s="361">
        <v>43378</v>
      </c>
      <c r="T637" s="179"/>
      <c r="U637" s="361"/>
      <c r="V637" s="179"/>
      <c r="W637" s="361"/>
      <c r="X637" s="179"/>
      <c r="Y637" s="361"/>
      <c r="Z637" s="875" t="s">
        <v>4353</v>
      </c>
      <c r="AA637" s="89">
        <f t="shared" si="47"/>
        <v>43378</v>
      </c>
      <c r="AB637" s="237"/>
      <c r="AC637" s="237"/>
      <c r="AD637" s="237"/>
      <c r="AE637" s="237"/>
      <c r="AF637" s="237"/>
      <c r="AG637" s="237"/>
      <c r="AH637" s="237"/>
      <c r="AI637" s="237"/>
      <c r="AJ637" s="237"/>
      <c r="AK637" s="237"/>
      <c r="AL637" s="237"/>
      <c r="AM637" s="237"/>
      <c r="AN637" s="237"/>
      <c r="AO637" s="237"/>
      <c r="AP637" s="237"/>
      <c r="AQ637" s="237"/>
      <c r="AR637" s="237"/>
      <c r="AS637" s="237"/>
      <c r="AT637" s="361"/>
      <c r="AU637" s="91">
        <f t="shared" si="48"/>
        <v>0</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284"/>
      <c r="S638" s="361"/>
      <c r="T638" s="179"/>
      <c r="U638" s="361"/>
      <c r="V638" s="179"/>
      <c r="W638" s="361"/>
      <c r="X638" s="179"/>
      <c r="Y638" s="361"/>
      <c r="Z638" s="354"/>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v>5871000</v>
      </c>
      <c r="AD639" s="237"/>
      <c r="AE639" s="237"/>
      <c r="AF639" s="237">
        <v>5871000</v>
      </c>
      <c r="AG639" s="237"/>
      <c r="AH639" s="237"/>
      <c r="AI639" s="237"/>
      <c r="AJ639" s="237"/>
      <c r="AK639" s="237"/>
      <c r="AL639" s="237"/>
      <c r="AM639" s="237"/>
      <c r="AN639" s="237"/>
      <c r="AO639" s="237"/>
      <c r="AP639" s="237"/>
      <c r="AQ639" s="237"/>
      <c r="AR639" s="237"/>
      <c r="AS639" s="237"/>
      <c r="AT639" s="361">
        <v>43375</v>
      </c>
      <c r="AU639" s="91">
        <f t="shared" si="48"/>
        <v>16634500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1"/>
      <c r="AU640" s="91">
        <f t="shared" si="48"/>
        <v>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v>104045323</v>
      </c>
      <c r="AC641" s="237"/>
      <c r="AD641" s="237"/>
      <c r="AE641" s="237"/>
      <c r="AF641" s="237"/>
      <c r="AG641" s="237"/>
      <c r="AH641" s="237"/>
      <c r="AI641" s="237"/>
      <c r="AJ641" s="237"/>
      <c r="AK641" s="237"/>
      <c r="AL641" s="237"/>
      <c r="AM641" s="237"/>
      <c r="AN641" s="237"/>
      <c r="AO641" s="237"/>
      <c r="AP641" s="237"/>
      <c r="AQ641" s="237"/>
      <c r="AR641" s="237"/>
      <c r="AS641" s="237"/>
      <c r="AT641" s="361">
        <v>43361</v>
      </c>
      <c r="AU641" s="91">
        <f t="shared" si="48"/>
        <v>104045323</v>
      </c>
    </row>
    <row r="642" spans="2:47" ht="45"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c r="J642" s="361"/>
      <c r="K642" s="237"/>
      <c r="L642" s="364"/>
      <c r="M642" s="179"/>
      <c r="N642" s="361"/>
      <c r="O642" s="179"/>
      <c r="P642" s="366"/>
      <c r="Q642" s="86">
        <f t="shared" si="46"/>
        <v>0</v>
      </c>
      <c r="R642" s="284"/>
      <c r="S642" s="361"/>
      <c r="T642" s="179"/>
      <c r="U642" s="361"/>
      <c r="V642" s="179"/>
      <c r="W642" s="361"/>
      <c r="X642" s="179"/>
      <c r="Y642" s="361"/>
      <c r="Z642" s="354"/>
      <c r="AA642" s="89">
        <f t="shared" si="47"/>
        <v>0</v>
      </c>
      <c r="AB642" s="237">
        <v>4520000</v>
      </c>
      <c r="AC642" s="237"/>
      <c r="AD642" s="237"/>
      <c r="AE642" s="237"/>
      <c r="AF642" s="237"/>
      <c r="AG642" s="237"/>
      <c r="AH642" s="237"/>
      <c r="AI642" s="237"/>
      <c r="AJ642" s="237"/>
      <c r="AK642" s="237"/>
      <c r="AL642" s="237"/>
      <c r="AM642" s="237"/>
      <c r="AN642" s="237"/>
      <c r="AO642" s="237"/>
      <c r="AP642" s="237"/>
      <c r="AQ642" s="237"/>
      <c r="AR642" s="237"/>
      <c r="AS642" s="237"/>
      <c r="AT642" s="361">
        <v>43374</v>
      </c>
      <c r="AU642" s="91">
        <f t="shared" si="48"/>
        <v>4520000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c r="AD643" s="237"/>
      <c r="AE643" s="237"/>
      <c r="AF643" s="237"/>
      <c r="AG643" s="237"/>
      <c r="AH643" s="237"/>
      <c r="AI643" s="237"/>
      <c r="AJ643" s="237"/>
      <c r="AK643" s="237"/>
      <c r="AL643" s="237"/>
      <c r="AM643" s="237"/>
      <c r="AN643" s="237"/>
      <c r="AO643" s="237"/>
      <c r="AP643" s="237"/>
      <c r="AQ643" s="237"/>
      <c r="AR643" s="237"/>
      <c r="AS643" s="237"/>
      <c r="AT643" s="361">
        <v>43353</v>
      </c>
      <c r="AU643" s="91">
        <f t="shared" si="48"/>
        <v>5469000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1"/>
      <c r="AU644" s="91">
        <f t="shared" si="48"/>
        <v>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c r="J645" s="361"/>
      <c r="K645" s="237"/>
      <c r="L645" s="364"/>
      <c r="M645" s="179"/>
      <c r="N645" s="361"/>
      <c r="O645" s="179"/>
      <c r="P645" s="366"/>
      <c r="Q645" s="86">
        <f t="shared" si="46"/>
        <v>0</v>
      </c>
      <c r="R645" s="284"/>
      <c r="S645" s="361"/>
      <c r="T645" s="179"/>
      <c r="U645" s="361"/>
      <c r="V645" s="179"/>
      <c r="W645" s="361"/>
      <c r="X645" s="179"/>
      <c r="Y645" s="361"/>
      <c r="Z645" s="354"/>
      <c r="AA645" s="89">
        <f t="shared" si="47"/>
        <v>0</v>
      </c>
      <c r="AB645" s="237">
        <v>5468694</v>
      </c>
      <c r="AC645" s="237">
        <v>5468694</v>
      </c>
      <c r="AD645" s="237"/>
      <c r="AE645" s="237"/>
      <c r="AF645" s="237"/>
      <c r="AG645" s="237"/>
      <c r="AH645" s="237"/>
      <c r="AI645" s="237"/>
      <c r="AJ645" s="237"/>
      <c r="AK645" s="237"/>
      <c r="AL645" s="237"/>
      <c r="AM645" s="237"/>
      <c r="AN645" s="237"/>
      <c r="AO645" s="237"/>
      <c r="AP645" s="237"/>
      <c r="AQ645" s="237"/>
      <c r="AR645" s="237"/>
      <c r="AS645" s="237"/>
      <c r="AT645" s="361">
        <v>43376</v>
      </c>
      <c r="AU645" s="91">
        <f t="shared" si="48"/>
        <v>10937388</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1"/>
      <c r="AU646" s="91">
        <f t="shared" si="48"/>
        <v>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c r="AD647" s="237"/>
      <c r="AE647" s="237"/>
      <c r="AF647" s="237"/>
      <c r="AG647" s="237"/>
      <c r="AH647" s="237"/>
      <c r="AI647" s="237"/>
      <c r="AJ647" s="237"/>
      <c r="AK647" s="237"/>
      <c r="AL647" s="237"/>
      <c r="AM647" s="237"/>
      <c r="AN647" s="237"/>
      <c r="AO647" s="237"/>
      <c r="AP647" s="237"/>
      <c r="AQ647" s="237"/>
      <c r="AR647" s="237"/>
      <c r="AS647" s="237"/>
      <c r="AT647" s="361">
        <v>43354</v>
      </c>
      <c r="AU647" s="91">
        <f t="shared" si="48"/>
        <v>3125000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c r="J648" s="361"/>
      <c r="K648" s="237"/>
      <c r="L648" s="364"/>
      <c r="M648" s="179"/>
      <c r="N648" s="361"/>
      <c r="O648" s="179"/>
      <c r="P648" s="366"/>
      <c r="Q648" s="86">
        <f t="shared" si="46"/>
        <v>0</v>
      </c>
      <c r="R648" s="284"/>
      <c r="S648" s="361"/>
      <c r="T648" s="179"/>
      <c r="U648" s="361"/>
      <c r="V648" s="179"/>
      <c r="W648" s="361"/>
      <c r="X648" s="179"/>
      <c r="Y648" s="361"/>
      <c r="Z648" s="354"/>
      <c r="AA648" s="89">
        <f t="shared" si="47"/>
        <v>0</v>
      </c>
      <c r="AB648" s="237">
        <v>5104400</v>
      </c>
      <c r="AC648" s="237"/>
      <c r="AD648" s="237"/>
      <c r="AE648" s="237"/>
      <c r="AF648" s="237"/>
      <c r="AG648" s="237"/>
      <c r="AH648" s="237"/>
      <c r="AI648" s="237"/>
      <c r="AJ648" s="237"/>
      <c r="AK648" s="237"/>
      <c r="AL648" s="237"/>
      <c r="AM648" s="237"/>
      <c r="AN648" s="237"/>
      <c r="AO648" s="237"/>
      <c r="AP648" s="237"/>
      <c r="AQ648" s="237"/>
      <c r="AR648" s="237"/>
      <c r="AS648" s="237"/>
      <c r="AT648" s="361">
        <v>43362</v>
      </c>
      <c r="AU648" s="91">
        <f t="shared" si="48"/>
        <v>5104400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c r="J649" s="361"/>
      <c r="K649" s="237"/>
      <c r="L649" s="364"/>
      <c r="M649" s="179"/>
      <c r="N649" s="361"/>
      <c r="O649" s="179"/>
      <c r="P649" s="366"/>
      <c r="Q649" s="86">
        <f t="shared" si="46"/>
        <v>0</v>
      </c>
      <c r="R649" s="284"/>
      <c r="S649" s="361"/>
      <c r="T649" s="179"/>
      <c r="U649" s="361"/>
      <c r="V649" s="179"/>
      <c r="W649" s="361"/>
      <c r="X649" s="179"/>
      <c r="Y649" s="361"/>
      <c r="Z649" s="354"/>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1"/>
      <c r="AU649" s="91">
        <f t="shared" si="48"/>
        <v>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c r="J650" s="361"/>
      <c r="K650" s="237"/>
      <c r="L650" s="364"/>
      <c r="M650" s="179"/>
      <c r="N650" s="361"/>
      <c r="O650" s="179"/>
      <c r="P650" s="366"/>
      <c r="Q650" s="86">
        <f t="shared" si="46"/>
        <v>0</v>
      </c>
      <c r="R650" s="284"/>
      <c r="S650" s="361"/>
      <c r="T650" s="179"/>
      <c r="U650" s="361"/>
      <c r="V650" s="179"/>
      <c r="W650" s="361"/>
      <c r="X650" s="179"/>
      <c r="Y650" s="361"/>
      <c r="Z650" s="354"/>
      <c r="AA650" s="89">
        <f t="shared" si="47"/>
        <v>0</v>
      </c>
      <c r="AB650" s="237">
        <v>3311297</v>
      </c>
      <c r="AC650" s="237">
        <v>3547818</v>
      </c>
      <c r="AD650" s="237"/>
      <c r="AE650" s="237"/>
      <c r="AF650" s="237"/>
      <c r="AG650" s="237"/>
      <c r="AH650" s="237"/>
      <c r="AI650" s="237"/>
      <c r="AJ650" s="237"/>
      <c r="AK650" s="237"/>
      <c r="AL650" s="237"/>
      <c r="AM650" s="237"/>
      <c r="AN650" s="237"/>
      <c r="AO650" s="237"/>
      <c r="AP650" s="237"/>
      <c r="AQ650" s="237"/>
      <c r="AR650" s="237"/>
      <c r="AS650" s="237"/>
      <c r="AT650" s="361">
        <v>43376</v>
      </c>
      <c r="AU650" s="91">
        <f t="shared" si="48"/>
        <v>6859115</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c r="J651" s="361"/>
      <c r="K651" s="237"/>
      <c r="L651" s="364"/>
      <c r="M651" s="179"/>
      <c r="N651" s="361"/>
      <c r="O651" s="179"/>
      <c r="P651" s="366"/>
      <c r="Q651" s="86">
        <f t="shared" si="46"/>
        <v>0</v>
      </c>
      <c r="R651" s="284"/>
      <c r="S651" s="361"/>
      <c r="T651" s="179"/>
      <c r="U651" s="361"/>
      <c r="V651" s="179"/>
      <c r="W651" s="361"/>
      <c r="X651" s="179"/>
      <c r="Y651" s="361"/>
      <c r="Z651" s="354"/>
      <c r="AA651" s="89">
        <f t="shared" si="47"/>
        <v>0</v>
      </c>
      <c r="AB651" s="237">
        <v>5833333</v>
      </c>
      <c r="AC651" s="237"/>
      <c r="AD651" s="237"/>
      <c r="AE651" s="237"/>
      <c r="AF651" s="237"/>
      <c r="AG651" s="237"/>
      <c r="AH651" s="237"/>
      <c r="AI651" s="237"/>
      <c r="AJ651" s="237"/>
      <c r="AK651" s="237"/>
      <c r="AL651" s="237"/>
      <c r="AM651" s="237"/>
      <c r="AN651" s="237"/>
      <c r="AO651" s="237"/>
      <c r="AP651" s="237"/>
      <c r="AQ651" s="237"/>
      <c r="AR651" s="237"/>
      <c r="AS651" s="237"/>
      <c r="AT651" s="361">
        <v>43357</v>
      </c>
      <c r="AU651" s="91">
        <f t="shared" si="48"/>
        <v>5833333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c r="J652" s="361"/>
      <c r="K652" s="237"/>
      <c r="L652" s="364"/>
      <c r="M652" s="179"/>
      <c r="N652" s="361"/>
      <c r="O652" s="179"/>
      <c r="P652" s="366"/>
      <c r="Q652" s="86">
        <f t="shared" si="46"/>
        <v>0</v>
      </c>
      <c r="R652" s="284"/>
      <c r="S652" s="361"/>
      <c r="T652" s="179"/>
      <c r="U652" s="361"/>
      <c r="V652" s="179"/>
      <c r="W652" s="361"/>
      <c r="X652" s="179"/>
      <c r="Y652" s="361"/>
      <c r="Z652" s="354"/>
      <c r="AA652" s="89">
        <f t="shared" si="47"/>
        <v>0</v>
      </c>
      <c r="AB652" s="237">
        <v>3705327</v>
      </c>
      <c r="AC652" s="237"/>
      <c r="AD652" s="237"/>
      <c r="AE652" s="237"/>
      <c r="AF652" s="237"/>
      <c r="AG652" s="237"/>
      <c r="AH652" s="237"/>
      <c r="AI652" s="237"/>
      <c r="AJ652" s="237"/>
      <c r="AK652" s="237"/>
      <c r="AL652" s="237"/>
      <c r="AM652" s="237"/>
      <c r="AN652" s="237"/>
      <c r="AO652" s="237"/>
      <c r="AP652" s="237"/>
      <c r="AQ652" s="237"/>
      <c r="AR652" s="237"/>
      <c r="AS652" s="237"/>
      <c r="AT652" s="361">
        <v>43355</v>
      </c>
      <c r="AU652" s="91">
        <f t="shared" si="48"/>
        <v>3705327</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c r="J653" s="361"/>
      <c r="K653" s="237"/>
      <c r="L653" s="364"/>
      <c r="M653" s="179"/>
      <c r="N653" s="361"/>
      <c r="O653" s="179"/>
      <c r="P653" s="366"/>
      <c r="Q653" s="86">
        <f t="shared" si="46"/>
        <v>0</v>
      </c>
      <c r="R653" s="284"/>
      <c r="S653" s="361"/>
      <c r="T653" s="179"/>
      <c r="U653" s="361"/>
      <c r="V653" s="179"/>
      <c r="W653" s="361"/>
      <c r="X653" s="179"/>
      <c r="Y653" s="361"/>
      <c r="Z653" s="354"/>
      <c r="AA653" s="89">
        <f t="shared" si="47"/>
        <v>0</v>
      </c>
      <c r="AB653" s="237">
        <v>2428767</v>
      </c>
      <c r="AC653" s="237"/>
      <c r="AD653" s="237"/>
      <c r="AE653" s="237"/>
      <c r="AF653" s="237"/>
      <c r="AG653" s="237"/>
      <c r="AH653" s="237"/>
      <c r="AI653" s="237"/>
      <c r="AJ653" s="237"/>
      <c r="AK653" s="237"/>
      <c r="AL653" s="237"/>
      <c r="AM653" s="237"/>
      <c r="AN653" s="237"/>
      <c r="AO653" s="237"/>
      <c r="AP653" s="237"/>
      <c r="AQ653" s="237"/>
      <c r="AR653" s="237"/>
      <c r="AS653" s="237"/>
      <c r="AT653" s="361">
        <v>43360</v>
      </c>
      <c r="AU653" s="91">
        <f t="shared" si="48"/>
        <v>2428767</v>
      </c>
    </row>
    <row r="654" spans="2:47" ht="78.75" hidden="1" x14ac:dyDescent="0.25">
      <c r="B654" s="2" t="str">
        <f>+'Base de Datos'!E654</f>
        <v>180222-0-2018</v>
      </c>
      <c r="C654" s="2" t="str">
        <f>+'Base de Datos'!F654</f>
        <v>HALIA CLIMENE ZAMBRANO ACOSTA</v>
      </c>
      <c r="D654" s="2">
        <f>+'Base de Datos'!G654</f>
        <v>52314220</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c r="J654" s="361"/>
      <c r="K654" s="237"/>
      <c r="L654" s="364"/>
      <c r="M654" s="179"/>
      <c r="N654" s="361"/>
      <c r="O654" s="179"/>
      <c r="P654" s="366"/>
      <c r="Q654" s="86">
        <f t="shared" si="46"/>
        <v>0</v>
      </c>
      <c r="R654" s="284"/>
      <c r="S654" s="361"/>
      <c r="T654" s="179"/>
      <c r="U654" s="361"/>
      <c r="V654" s="179"/>
      <c r="W654" s="361"/>
      <c r="X654" s="179"/>
      <c r="Y654" s="361"/>
      <c r="Z654" s="354"/>
      <c r="AA654" s="89">
        <f t="shared" si="47"/>
        <v>0</v>
      </c>
      <c r="AB654" s="237">
        <v>4374533</v>
      </c>
      <c r="AC654" s="237"/>
      <c r="AD654" s="237"/>
      <c r="AE654" s="237"/>
      <c r="AF654" s="237"/>
      <c r="AG654" s="237"/>
      <c r="AH654" s="237"/>
      <c r="AI654" s="237"/>
      <c r="AJ654" s="237"/>
      <c r="AK654" s="237"/>
      <c r="AL654" s="237"/>
      <c r="AM654" s="237"/>
      <c r="AN654" s="237"/>
      <c r="AO654" s="237"/>
      <c r="AP654" s="237"/>
      <c r="AQ654" s="237"/>
      <c r="AR654" s="237"/>
      <c r="AS654" s="237"/>
      <c r="AT654" s="361">
        <v>43362</v>
      </c>
      <c r="AU654" s="91">
        <f t="shared" si="48"/>
        <v>4374533</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c r="J655" s="361"/>
      <c r="K655" s="237"/>
      <c r="L655" s="364"/>
      <c r="M655" s="179"/>
      <c r="N655" s="361"/>
      <c r="O655" s="179"/>
      <c r="P655" s="366"/>
      <c r="Q655" s="86">
        <f t="shared" si="46"/>
        <v>0</v>
      </c>
      <c r="R655" s="284"/>
      <c r="S655" s="361"/>
      <c r="T655" s="179"/>
      <c r="U655" s="361"/>
      <c r="V655" s="179"/>
      <c r="W655" s="361"/>
      <c r="X655" s="179"/>
      <c r="Y655" s="361"/>
      <c r="Z655" s="354"/>
      <c r="AA655" s="89">
        <f t="shared" si="47"/>
        <v>0</v>
      </c>
      <c r="AB655" s="237">
        <v>1497300</v>
      </c>
      <c r="AC655" s="237"/>
      <c r="AD655" s="237"/>
      <c r="AE655" s="237"/>
      <c r="AF655" s="237"/>
      <c r="AG655" s="237"/>
      <c r="AH655" s="237"/>
      <c r="AI655" s="237"/>
      <c r="AJ655" s="237"/>
      <c r="AK655" s="237"/>
      <c r="AL655" s="237"/>
      <c r="AM655" s="237"/>
      <c r="AN655" s="237"/>
      <c r="AO655" s="237"/>
      <c r="AP655" s="237"/>
      <c r="AQ655" s="237"/>
      <c r="AR655" s="237"/>
      <c r="AS655" s="237"/>
      <c r="AT655" s="361">
        <v>43354</v>
      </c>
      <c r="AU655" s="91">
        <f t="shared" si="48"/>
        <v>1497300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c r="J656" s="361"/>
      <c r="K656" s="237"/>
      <c r="L656" s="364"/>
      <c r="M656" s="179"/>
      <c r="N656" s="361"/>
      <c r="O656" s="179"/>
      <c r="P656" s="366"/>
      <c r="Q656" s="86">
        <f t="shared" si="46"/>
        <v>0</v>
      </c>
      <c r="R656" s="284"/>
      <c r="S656" s="361"/>
      <c r="T656" s="179"/>
      <c r="U656" s="361"/>
      <c r="V656" s="179"/>
      <c r="W656" s="361"/>
      <c r="X656" s="179"/>
      <c r="Y656" s="361"/>
      <c r="Z656" s="354"/>
      <c r="AA656" s="89">
        <f t="shared" si="47"/>
        <v>0</v>
      </c>
      <c r="AB656" s="237">
        <v>1497300</v>
      </c>
      <c r="AC656" s="237"/>
      <c r="AD656" s="237"/>
      <c r="AE656" s="237"/>
      <c r="AF656" s="237"/>
      <c r="AG656" s="237"/>
      <c r="AH656" s="237"/>
      <c r="AI656" s="237"/>
      <c r="AJ656" s="237"/>
      <c r="AK656" s="237"/>
      <c r="AL656" s="237"/>
      <c r="AM656" s="237"/>
      <c r="AN656" s="237"/>
      <c r="AO656" s="237"/>
      <c r="AP656" s="237"/>
      <c r="AQ656" s="237"/>
      <c r="AR656" s="237"/>
      <c r="AS656" s="237"/>
      <c r="AT656" s="361">
        <v>43354</v>
      </c>
      <c r="AU656" s="91">
        <f t="shared" si="48"/>
        <v>1497300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c r="J657" s="361"/>
      <c r="K657" s="237"/>
      <c r="L657" s="364"/>
      <c r="M657" s="179"/>
      <c r="N657" s="361"/>
      <c r="O657" s="179"/>
      <c r="P657" s="366"/>
      <c r="Q657" s="86">
        <f t="shared" si="46"/>
        <v>0</v>
      </c>
      <c r="R657" s="284"/>
      <c r="S657" s="361"/>
      <c r="T657" s="179"/>
      <c r="U657" s="361"/>
      <c r="V657" s="179"/>
      <c r="W657" s="361"/>
      <c r="X657" s="179"/>
      <c r="Y657" s="361"/>
      <c r="Z657" s="354"/>
      <c r="AA657" s="89">
        <f t="shared" si="47"/>
        <v>0</v>
      </c>
      <c r="AB657" s="237">
        <v>1106700</v>
      </c>
      <c r="AC657" s="237"/>
      <c r="AD657" s="237"/>
      <c r="AE657" s="237"/>
      <c r="AF657" s="237"/>
      <c r="AG657" s="237"/>
      <c r="AH657" s="237"/>
      <c r="AI657" s="237"/>
      <c r="AJ657" s="237"/>
      <c r="AK657" s="237"/>
      <c r="AL657" s="237"/>
      <c r="AM657" s="237"/>
      <c r="AN657" s="237"/>
      <c r="AO657" s="237"/>
      <c r="AP657" s="237"/>
      <c r="AQ657" s="237"/>
      <c r="AR657" s="237"/>
      <c r="AS657" s="237"/>
      <c r="AT657" s="361">
        <v>43361</v>
      </c>
      <c r="AU657" s="91">
        <f t="shared" si="48"/>
        <v>1106700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1"/>
      <c r="AU659" s="91">
        <f t="shared" si="48"/>
        <v>0</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1"/>
      <c r="AU660" s="91">
        <f t="shared" si="48"/>
        <v>0</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c r="J661" s="361"/>
      <c r="K661" s="237"/>
      <c r="L661" s="364"/>
      <c r="M661" s="179"/>
      <c r="N661" s="361"/>
      <c r="O661" s="179"/>
      <c r="P661" s="366"/>
      <c r="Q661" s="86">
        <f t="shared" si="46"/>
        <v>0</v>
      </c>
      <c r="R661" s="284"/>
      <c r="S661" s="361"/>
      <c r="T661" s="179"/>
      <c r="U661" s="361"/>
      <c r="V661" s="179"/>
      <c r="W661" s="361"/>
      <c r="X661" s="179"/>
      <c r="Y661" s="361"/>
      <c r="Z661" s="354"/>
      <c r="AA661" s="89">
        <f t="shared" si="47"/>
        <v>0</v>
      </c>
      <c r="AB661" s="237">
        <v>1246667</v>
      </c>
      <c r="AC661" s="237"/>
      <c r="AD661" s="237"/>
      <c r="AE661" s="237"/>
      <c r="AF661" s="237"/>
      <c r="AG661" s="237"/>
      <c r="AH661" s="237"/>
      <c r="AI661" s="237"/>
      <c r="AJ661" s="237"/>
      <c r="AK661" s="237"/>
      <c r="AL661" s="237"/>
      <c r="AM661" s="237"/>
      <c r="AN661" s="237"/>
      <c r="AO661" s="237"/>
      <c r="AP661" s="237"/>
      <c r="AQ661" s="237"/>
      <c r="AR661" s="237"/>
      <c r="AS661" s="237"/>
      <c r="AT661" s="361">
        <v>43360</v>
      </c>
      <c r="AU661" s="91">
        <f t="shared" si="48"/>
        <v>1246667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c r="AD662" s="237"/>
      <c r="AE662" s="237"/>
      <c r="AF662" s="237"/>
      <c r="AG662" s="237"/>
      <c r="AH662" s="237"/>
      <c r="AI662" s="237"/>
      <c r="AJ662" s="237"/>
      <c r="AK662" s="237"/>
      <c r="AL662" s="237"/>
      <c r="AM662" s="237"/>
      <c r="AN662" s="237"/>
      <c r="AO662" s="237"/>
      <c r="AP662" s="237"/>
      <c r="AQ662" s="237"/>
      <c r="AR662" s="237"/>
      <c r="AS662" s="237"/>
      <c r="AT662" s="361">
        <v>43355</v>
      </c>
      <c r="AU662" s="91">
        <f t="shared" si="48"/>
        <v>4375000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c r="AD663" s="237"/>
      <c r="AE663" s="237"/>
      <c r="AF663" s="237"/>
      <c r="AG663" s="237"/>
      <c r="AH663" s="237"/>
      <c r="AI663" s="237"/>
      <c r="AJ663" s="237"/>
      <c r="AK663" s="237"/>
      <c r="AL663" s="237"/>
      <c r="AM663" s="237"/>
      <c r="AN663" s="237"/>
      <c r="AO663" s="237"/>
      <c r="AP663" s="237"/>
      <c r="AQ663" s="237"/>
      <c r="AR663" s="237"/>
      <c r="AS663" s="237"/>
      <c r="AT663" s="361">
        <v>43354</v>
      </c>
      <c r="AU663" s="91">
        <f t="shared" si="48"/>
        <v>1913800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c r="J664" s="361"/>
      <c r="K664" s="237"/>
      <c r="L664" s="364"/>
      <c r="M664" s="179"/>
      <c r="N664" s="361"/>
      <c r="O664" s="179"/>
      <c r="P664" s="366"/>
      <c r="Q664" s="86">
        <f t="shared" si="46"/>
        <v>0</v>
      </c>
      <c r="R664" s="284" t="s">
        <v>4354</v>
      </c>
      <c r="S664" s="361">
        <v>43378</v>
      </c>
      <c r="T664" s="179"/>
      <c r="U664" s="361"/>
      <c r="V664" s="179"/>
      <c r="W664" s="361"/>
      <c r="X664" s="179"/>
      <c r="Y664" s="361"/>
      <c r="Z664" s="284" t="s">
        <v>4354</v>
      </c>
      <c r="AA664" s="89">
        <f t="shared" si="47"/>
        <v>43378</v>
      </c>
      <c r="AB664" s="237">
        <v>393873426</v>
      </c>
      <c r="AC664" s="237"/>
      <c r="AD664" s="237"/>
      <c r="AE664" s="237"/>
      <c r="AF664" s="237"/>
      <c r="AG664" s="237"/>
      <c r="AH664" s="237"/>
      <c r="AI664" s="237"/>
      <c r="AJ664" s="237"/>
      <c r="AK664" s="237"/>
      <c r="AL664" s="237"/>
      <c r="AM664" s="237"/>
      <c r="AN664" s="237"/>
      <c r="AO664" s="237"/>
      <c r="AP664" s="237"/>
      <c r="AQ664" s="237"/>
      <c r="AR664" s="237"/>
      <c r="AS664" s="237"/>
      <c r="AT664" s="361">
        <v>43363</v>
      </c>
      <c r="AU664" s="91">
        <f t="shared" si="48"/>
        <v>393873426</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1">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c r="J667" s="361"/>
      <c r="K667" s="237"/>
      <c r="L667" s="364"/>
      <c r="M667" s="179"/>
      <c r="N667" s="361"/>
      <c r="O667" s="179"/>
      <c r="P667" s="366"/>
      <c r="Q667" s="86">
        <f t="shared" si="49"/>
        <v>0</v>
      </c>
      <c r="R667" s="284"/>
      <c r="S667" s="361"/>
      <c r="T667" s="179"/>
      <c r="U667" s="361"/>
      <c r="V667" s="179"/>
      <c r="W667" s="361"/>
      <c r="X667" s="179"/>
      <c r="Y667" s="361"/>
      <c r="Z667" s="354"/>
      <c r="AA667" s="89">
        <f t="shared" si="50"/>
        <v>0</v>
      </c>
      <c r="AB667" s="237">
        <v>3125000</v>
      </c>
      <c r="AC667" s="237"/>
      <c r="AD667" s="237"/>
      <c r="AE667" s="237"/>
      <c r="AF667" s="237"/>
      <c r="AG667" s="237"/>
      <c r="AH667" s="237"/>
      <c r="AI667" s="237"/>
      <c r="AJ667" s="237"/>
      <c r="AK667" s="237"/>
      <c r="AL667" s="237"/>
      <c r="AM667" s="237"/>
      <c r="AN667" s="237"/>
      <c r="AO667" s="237"/>
      <c r="AP667" s="237"/>
      <c r="AQ667" s="237"/>
      <c r="AR667" s="237"/>
      <c r="AS667" s="237"/>
      <c r="AT667" s="361">
        <v>43360</v>
      </c>
      <c r="AU667" s="91">
        <f t="shared" si="51"/>
        <v>3125000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v>2117330</v>
      </c>
      <c r="AC668" s="237"/>
      <c r="AD668" s="237"/>
      <c r="AE668" s="237"/>
      <c r="AF668" s="237"/>
      <c r="AG668" s="237"/>
      <c r="AH668" s="237"/>
      <c r="AI668" s="237"/>
      <c r="AJ668" s="237"/>
      <c r="AK668" s="237"/>
      <c r="AL668" s="237"/>
      <c r="AM668" s="237"/>
      <c r="AN668" s="237"/>
      <c r="AO668" s="237"/>
      <c r="AP668" s="237"/>
      <c r="AQ668" s="237"/>
      <c r="AR668" s="237"/>
      <c r="AS668" s="237"/>
      <c r="AT668" s="361">
        <v>43363</v>
      </c>
      <c r="AU668" s="91">
        <f t="shared" si="51"/>
        <v>2117330</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1"/>
      <c r="AU669" s="91">
        <f t="shared" si="51"/>
        <v>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c r="AD670" s="237"/>
      <c r="AE670" s="237"/>
      <c r="AF670" s="237"/>
      <c r="AG670" s="237"/>
      <c r="AH670" s="237"/>
      <c r="AI670" s="237"/>
      <c r="AJ670" s="237"/>
      <c r="AK670" s="237"/>
      <c r="AL670" s="237"/>
      <c r="AM670" s="237"/>
      <c r="AN670" s="237"/>
      <c r="AO670" s="237"/>
      <c r="AP670" s="237"/>
      <c r="AQ670" s="237"/>
      <c r="AR670" s="237"/>
      <c r="AS670" s="237"/>
      <c r="AT670" s="361">
        <v>43355</v>
      </c>
      <c r="AU670" s="91">
        <f t="shared" si="51"/>
        <v>1458400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43506</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1"/>
      <c r="AU671" s="91">
        <f t="shared" si="51"/>
        <v>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1"/>
      <c r="AU672" s="91">
        <f t="shared" si="51"/>
        <v>0</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1"/>
      <c r="AU673" s="91">
        <f t="shared" si="51"/>
        <v>0</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1"/>
      <c r="AU674" s="91">
        <f t="shared" si="51"/>
        <v>0</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1"/>
      <c r="AU676" s="91">
        <f t="shared" si="51"/>
        <v>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c r="AC677" s="237"/>
      <c r="AD677" s="237"/>
      <c r="AE677" s="237"/>
      <c r="AF677" s="237"/>
      <c r="AG677" s="237"/>
      <c r="AH677" s="237"/>
      <c r="AI677" s="237"/>
      <c r="AJ677" s="237"/>
      <c r="AK677" s="237"/>
      <c r="AL677" s="237"/>
      <c r="AM677" s="237"/>
      <c r="AN677" s="237"/>
      <c r="AO677" s="237"/>
      <c r="AP677" s="237"/>
      <c r="AQ677" s="237"/>
      <c r="AR677" s="237"/>
      <c r="AS677" s="237"/>
      <c r="AT677" s="361"/>
      <c r="AU677" s="91">
        <f t="shared" ref="AU677:AU726" si="54">SUM(AB677:AR677)</f>
        <v>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c r="J678" s="361"/>
      <c r="K678" s="237"/>
      <c r="L678" s="364"/>
      <c r="M678" s="179"/>
      <c r="N678" s="361"/>
      <c r="O678" s="179"/>
      <c r="P678" s="366"/>
      <c r="Q678" s="86">
        <f t="shared" si="52"/>
        <v>0</v>
      </c>
      <c r="R678" s="284"/>
      <c r="S678" s="361"/>
      <c r="T678" s="179"/>
      <c r="U678" s="361"/>
      <c r="V678" s="179"/>
      <c r="W678" s="361"/>
      <c r="X678" s="179"/>
      <c r="Y678" s="361"/>
      <c r="Z678" s="354"/>
      <c r="AA678" s="89">
        <f t="shared" si="53"/>
        <v>0</v>
      </c>
      <c r="AB678" s="237"/>
      <c r="AC678" s="237"/>
      <c r="AD678" s="237"/>
      <c r="AE678" s="237"/>
      <c r="AF678" s="237"/>
      <c r="AG678" s="237"/>
      <c r="AH678" s="237"/>
      <c r="AI678" s="237"/>
      <c r="AJ678" s="237"/>
      <c r="AK678" s="237"/>
      <c r="AL678" s="237"/>
      <c r="AM678" s="237"/>
      <c r="AN678" s="237"/>
      <c r="AO678" s="237"/>
      <c r="AP678" s="237"/>
      <c r="AQ678" s="237"/>
      <c r="AR678" s="237"/>
      <c r="AS678" s="237"/>
      <c r="AT678" s="361"/>
      <c r="AU678" s="91">
        <f t="shared" si="54"/>
        <v>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c r="AC679" s="237"/>
      <c r="AD679" s="237"/>
      <c r="AE679" s="237"/>
      <c r="AF679" s="237"/>
      <c r="AG679" s="237"/>
      <c r="AH679" s="237"/>
      <c r="AI679" s="237"/>
      <c r="AJ679" s="237"/>
      <c r="AK679" s="237"/>
      <c r="AL679" s="237"/>
      <c r="AM679" s="237"/>
      <c r="AN679" s="237"/>
      <c r="AO679" s="237"/>
      <c r="AP679" s="237"/>
      <c r="AQ679" s="237"/>
      <c r="AR679" s="237"/>
      <c r="AS679" s="237"/>
      <c r="AT679" s="361"/>
      <c r="AU679" s="91">
        <f t="shared" si="54"/>
        <v>0</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c r="AC680" s="237"/>
      <c r="AD680" s="237"/>
      <c r="AE680" s="237"/>
      <c r="AF680" s="237"/>
      <c r="AG680" s="237"/>
      <c r="AH680" s="237"/>
      <c r="AI680" s="237"/>
      <c r="AJ680" s="237"/>
      <c r="AK680" s="237"/>
      <c r="AL680" s="237"/>
      <c r="AM680" s="237"/>
      <c r="AN680" s="237"/>
      <c r="AO680" s="237"/>
      <c r="AP680" s="237"/>
      <c r="AQ680" s="237"/>
      <c r="AR680" s="237"/>
      <c r="AS680" s="237"/>
      <c r="AT680" s="361"/>
      <c r="AU680" s="91">
        <f t="shared" si="54"/>
        <v>0</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c r="J681" s="361"/>
      <c r="K681" s="237"/>
      <c r="L681" s="364"/>
      <c r="M681" s="179"/>
      <c r="N681" s="361"/>
      <c r="O681" s="179"/>
      <c r="P681" s="366"/>
      <c r="Q681" s="86">
        <f t="shared" si="52"/>
        <v>0</v>
      </c>
      <c r="R681" s="284"/>
      <c r="S681" s="361"/>
      <c r="T681" s="179"/>
      <c r="U681" s="361"/>
      <c r="V681" s="179"/>
      <c r="W681" s="361"/>
      <c r="X681" s="179"/>
      <c r="Y681" s="361"/>
      <c r="Z681" s="354"/>
      <c r="AA681" s="89">
        <f t="shared" si="53"/>
        <v>0</v>
      </c>
      <c r="AB681" s="237"/>
      <c r="AC681" s="237"/>
      <c r="AD681" s="237"/>
      <c r="AE681" s="237"/>
      <c r="AF681" s="237"/>
      <c r="AG681" s="237"/>
      <c r="AH681" s="237"/>
      <c r="AI681" s="237"/>
      <c r="AJ681" s="237"/>
      <c r="AK681" s="237"/>
      <c r="AL681" s="237"/>
      <c r="AM681" s="237"/>
      <c r="AN681" s="237"/>
      <c r="AO681" s="237"/>
      <c r="AP681" s="237"/>
      <c r="AQ681" s="237"/>
      <c r="AR681" s="237"/>
      <c r="AS681" s="237"/>
      <c r="AT681" s="361"/>
      <c r="AU681" s="91">
        <f t="shared" si="54"/>
        <v>0</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c r="AC682" s="237"/>
      <c r="AD682" s="237"/>
      <c r="AE682" s="237"/>
      <c r="AF682" s="237"/>
      <c r="AG682" s="237"/>
      <c r="AH682" s="237"/>
      <c r="AI682" s="237"/>
      <c r="AJ682" s="237"/>
      <c r="AK682" s="237"/>
      <c r="AL682" s="237"/>
      <c r="AM682" s="237"/>
      <c r="AN682" s="237"/>
      <c r="AO682" s="237"/>
      <c r="AP682" s="237"/>
      <c r="AQ682" s="237"/>
      <c r="AR682" s="237"/>
      <c r="AS682" s="237"/>
      <c r="AT682" s="361"/>
      <c r="AU682" s="91">
        <f t="shared" si="54"/>
        <v>0</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c r="AC683" s="237"/>
      <c r="AD683" s="237"/>
      <c r="AE683" s="237"/>
      <c r="AF683" s="237"/>
      <c r="AG683" s="237"/>
      <c r="AH683" s="237"/>
      <c r="AI683" s="237"/>
      <c r="AJ683" s="237"/>
      <c r="AK683" s="237"/>
      <c r="AL683" s="237"/>
      <c r="AM683" s="237"/>
      <c r="AN683" s="237"/>
      <c r="AO683" s="237"/>
      <c r="AP683" s="237"/>
      <c r="AQ683" s="237"/>
      <c r="AR683" s="237"/>
      <c r="AS683" s="237"/>
      <c r="AT683" s="361"/>
      <c r="AU683" s="91">
        <f t="shared" si="54"/>
        <v>0</v>
      </c>
    </row>
    <row r="684" spans="2:47" hidden="1" x14ac:dyDescent="0.25">
      <c r="B684" s="2">
        <f>+'Base de Datos'!E684</f>
        <v>0</v>
      </c>
      <c r="C684" s="2">
        <f>+'Base de Datos'!F684</f>
        <v>0</v>
      </c>
      <c r="D684" s="2">
        <f>+'Base de Datos'!G684</f>
        <v>0</v>
      </c>
      <c r="E684" s="2">
        <f>+'Base de Datos'!H684</f>
        <v>0</v>
      </c>
      <c r="F684" s="221">
        <f>+'Base de Datos'!I684</f>
        <v>0</v>
      </c>
      <c r="G684" s="220">
        <f>+'Base de Datos'!M684</f>
        <v>0</v>
      </c>
      <c r="H684" s="220">
        <f>+'Base de Datos'!N684</f>
        <v>0</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c r="AC684" s="237"/>
      <c r="AD684" s="237"/>
      <c r="AE684" s="237"/>
      <c r="AF684" s="237"/>
      <c r="AG684" s="237"/>
      <c r="AH684" s="237"/>
      <c r="AI684" s="237"/>
      <c r="AJ684" s="237"/>
      <c r="AK684" s="237"/>
      <c r="AL684" s="237"/>
      <c r="AM684" s="237"/>
      <c r="AN684" s="237"/>
      <c r="AO684" s="237"/>
      <c r="AP684" s="237"/>
      <c r="AQ684" s="237"/>
      <c r="AR684" s="237"/>
      <c r="AS684" s="237"/>
      <c r="AT684" s="361"/>
      <c r="AU684" s="91">
        <f t="shared" si="54"/>
        <v>0</v>
      </c>
    </row>
    <row r="685" spans="2:47" hidden="1" x14ac:dyDescent="0.25">
      <c r="B685" s="2">
        <f>+'Base de Datos'!E685</f>
        <v>0</v>
      </c>
      <c r="C685" s="2">
        <f>+'Base de Datos'!F685</f>
        <v>0</v>
      </c>
      <c r="D685" s="2">
        <f>+'Base de Datos'!G685</f>
        <v>0</v>
      </c>
      <c r="E685" s="2">
        <f>+'Base de Datos'!H685</f>
        <v>0</v>
      </c>
      <c r="F685" s="221">
        <f>+'Base de Datos'!I685</f>
        <v>0</v>
      </c>
      <c r="G685" s="220">
        <f>+'Base de Datos'!M685</f>
        <v>0</v>
      </c>
      <c r="H685" s="220">
        <f>+'Base de Datos'!N685</f>
        <v>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c r="AC685" s="237"/>
      <c r="AD685" s="237"/>
      <c r="AE685" s="237"/>
      <c r="AF685" s="237"/>
      <c r="AG685" s="237"/>
      <c r="AH685" s="237"/>
      <c r="AI685" s="237"/>
      <c r="AJ685" s="237"/>
      <c r="AK685" s="237"/>
      <c r="AL685" s="237"/>
      <c r="AM685" s="237"/>
      <c r="AN685" s="237"/>
      <c r="AO685" s="237"/>
      <c r="AP685" s="237"/>
      <c r="AQ685" s="237"/>
      <c r="AR685" s="237"/>
      <c r="AS685" s="237"/>
      <c r="AT685" s="361"/>
      <c r="AU685" s="91">
        <f t="shared" si="54"/>
        <v>0</v>
      </c>
    </row>
    <row r="686" spans="2:47" hidden="1" x14ac:dyDescent="0.25">
      <c r="B686" s="2">
        <f>+'Base de Datos'!E686</f>
        <v>0</v>
      </c>
      <c r="C686" s="2">
        <f>+'Base de Datos'!F686</f>
        <v>0</v>
      </c>
      <c r="D686" s="2">
        <f>+'Base de Datos'!G686</f>
        <v>0</v>
      </c>
      <c r="E686" s="2">
        <f>+'Base de Datos'!H686</f>
        <v>0</v>
      </c>
      <c r="F686" s="221">
        <f>+'Base de Datos'!I686</f>
        <v>0</v>
      </c>
      <c r="G686" s="220">
        <f>+'Base de Datos'!M686</f>
        <v>0</v>
      </c>
      <c r="H686" s="220">
        <f>+'Base de Datos'!N686</f>
        <v>0</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idden="1" x14ac:dyDescent="0.25">
      <c r="B687" s="2">
        <f>+'Base de Datos'!E687</f>
        <v>0</v>
      </c>
      <c r="C687" s="2">
        <f>+'Base de Datos'!F687</f>
        <v>0</v>
      </c>
      <c r="D687" s="2">
        <f>+'Base de Datos'!G687</f>
        <v>0</v>
      </c>
      <c r="E687" s="2">
        <f>+'Base de Datos'!H687</f>
        <v>0</v>
      </c>
      <c r="F687" s="221">
        <f>+'Base de Datos'!I687</f>
        <v>0</v>
      </c>
      <c r="G687" s="220">
        <f>+'Base de Datos'!M687</f>
        <v>0</v>
      </c>
      <c r="H687" s="220">
        <f>+'Base de Datos'!N687</f>
        <v>0</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c r="AC687" s="237"/>
      <c r="AD687" s="237"/>
      <c r="AE687" s="237"/>
      <c r="AF687" s="237"/>
      <c r="AG687" s="237"/>
      <c r="AH687" s="237"/>
      <c r="AI687" s="237"/>
      <c r="AJ687" s="237"/>
      <c r="AK687" s="237"/>
      <c r="AL687" s="237"/>
      <c r="AM687" s="237"/>
      <c r="AN687" s="237"/>
      <c r="AO687" s="237"/>
      <c r="AP687" s="237"/>
      <c r="AQ687" s="237"/>
      <c r="AR687" s="237"/>
      <c r="AS687" s="237"/>
      <c r="AT687" s="361"/>
      <c r="AU687" s="91">
        <f t="shared" si="54"/>
        <v>0</v>
      </c>
    </row>
    <row r="688" spans="2:47" hidden="1" x14ac:dyDescent="0.25">
      <c r="B688" s="2">
        <f>+'Base de Datos'!E688</f>
        <v>0</v>
      </c>
      <c r="C688" s="2">
        <f>+'Base de Datos'!F688</f>
        <v>0</v>
      </c>
      <c r="D688" s="2">
        <f>+'Base de Datos'!G688</f>
        <v>0</v>
      </c>
      <c r="E688" s="2">
        <f>+'Base de Datos'!H688</f>
        <v>0</v>
      </c>
      <c r="F688" s="221">
        <f>+'Base de Datos'!I688</f>
        <v>0</v>
      </c>
      <c r="G688" s="220">
        <f>+'Base de Datos'!M688</f>
        <v>0</v>
      </c>
      <c r="H688" s="220">
        <f>+'Base de Datos'!N688</f>
        <v>0</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c r="AC688" s="237"/>
      <c r="AD688" s="237"/>
      <c r="AE688" s="237"/>
      <c r="AF688" s="237"/>
      <c r="AG688" s="237"/>
      <c r="AH688" s="237"/>
      <c r="AI688" s="237"/>
      <c r="AJ688" s="237"/>
      <c r="AK688" s="237"/>
      <c r="AL688" s="237"/>
      <c r="AM688" s="237"/>
      <c r="AN688" s="237"/>
      <c r="AO688" s="237"/>
      <c r="AP688" s="237"/>
      <c r="AQ688" s="237"/>
      <c r="AR688" s="237"/>
      <c r="AS688" s="237"/>
      <c r="AT688" s="361"/>
      <c r="AU688" s="91">
        <f t="shared" si="54"/>
        <v>0</v>
      </c>
    </row>
    <row r="689" spans="2:47" hidden="1" x14ac:dyDescent="0.25">
      <c r="B689" s="2">
        <f>+'Base de Datos'!E689</f>
        <v>0</v>
      </c>
      <c r="C689" s="2">
        <f>+'Base de Datos'!F689</f>
        <v>0</v>
      </c>
      <c r="D689" s="2">
        <f>+'Base de Datos'!G689</f>
        <v>0</v>
      </c>
      <c r="E689" s="2">
        <f>+'Base de Datos'!H689</f>
        <v>0</v>
      </c>
      <c r="F689" s="221">
        <f>+'Base de Datos'!I689</f>
        <v>0</v>
      </c>
      <c r="G689" s="220">
        <f>+'Base de Datos'!M689</f>
        <v>0</v>
      </c>
      <c r="H689" s="220">
        <f>+'Base de Datos'!N689</f>
        <v>0</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idden="1" x14ac:dyDescent="0.25">
      <c r="B690" s="2">
        <f>+'Base de Datos'!E690</f>
        <v>0</v>
      </c>
      <c r="C690" s="2">
        <f>+'Base de Datos'!F690</f>
        <v>0</v>
      </c>
      <c r="D690" s="2">
        <f>+'Base de Datos'!G690</f>
        <v>0</v>
      </c>
      <c r="E690" s="2">
        <f>+'Base de Datos'!H690</f>
        <v>0</v>
      </c>
      <c r="F690" s="221">
        <f>+'Base de Datos'!I690</f>
        <v>0</v>
      </c>
      <c r="G690" s="220">
        <f>+'Base de Datos'!M690</f>
        <v>0</v>
      </c>
      <c r="H690" s="220">
        <f>+'Base de Datos'!N690</f>
        <v>0</v>
      </c>
      <c r="I690" s="179"/>
      <c r="J690" s="361"/>
      <c r="K690" s="237"/>
      <c r="L690" s="364"/>
      <c r="M690" s="179"/>
      <c r="N690" s="361"/>
      <c r="O690" s="179"/>
      <c r="P690" s="366"/>
      <c r="Q690" s="86">
        <f t="shared" si="52"/>
        <v>0</v>
      </c>
      <c r="R690" s="284"/>
      <c r="S690" s="361"/>
      <c r="T690" s="179"/>
      <c r="U690" s="361"/>
      <c r="V690" s="179"/>
      <c r="W690" s="361"/>
      <c r="X690" s="179"/>
      <c r="Y690" s="361"/>
      <c r="Z690" s="354"/>
      <c r="AA690" s="89">
        <f t="shared" si="53"/>
        <v>0</v>
      </c>
      <c r="AB690" s="237"/>
      <c r="AC690" s="237"/>
      <c r="AD690" s="237"/>
      <c r="AE690" s="237"/>
      <c r="AF690" s="237"/>
      <c r="AG690" s="237"/>
      <c r="AH690" s="237"/>
      <c r="AI690" s="237"/>
      <c r="AJ690" s="237"/>
      <c r="AK690" s="237"/>
      <c r="AL690" s="237"/>
      <c r="AM690" s="237"/>
      <c r="AN690" s="237"/>
      <c r="AO690" s="237"/>
      <c r="AP690" s="237"/>
      <c r="AQ690" s="237"/>
      <c r="AR690" s="237"/>
      <c r="AS690" s="237"/>
      <c r="AT690" s="361"/>
      <c r="AU690" s="91">
        <f t="shared" si="54"/>
        <v>0</v>
      </c>
    </row>
    <row r="691" spans="2:47" hidden="1" x14ac:dyDescent="0.25">
      <c r="B691" s="2">
        <f>+'Base de Datos'!E691</f>
        <v>0</v>
      </c>
      <c r="C691" s="2">
        <f>+'Base de Datos'!F691</f>
        <v>0</v>
      </c>
      <c r="D691" s="2">
        <f>+'Base de Datos'!G691</f>
        <v>0</v>
      </c>
      <c r="E691" s="2">
        <f>+'Base de Datos'!H691</f>
        <v>0</v>
      </c>
      <c r="F691" s="221">
        <f>+'Base de Datos'!I691</f>
        <v>0</v>
      </c>
      <c r="G691" s="220">
        <f>+'Base de Datos'!M691</f>
        <v>0</v>
      </c>
      <c r="H691" s="220">
        <f>+'Base de Datos'!N691</f>
        <v>0</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c r="AC691" s="237"/>
      <c r="AD691" s="237"/>
      <c r="AE691" s="237"/>
      <c r="AF691" s="237"/>
      <c r="AG691" s="237"/>
      <c r="AH691" s="237"/>
      <c r="AI691" s="237"/>
      <c r="AJ691" s="237"/>
      <c r="AK691" s="237"/>
      <c r="AL691" s="237"/>
      <c r="AM691" s="237"/>
      <c r="AN691" s="237"/>
      <c r="AO691" s="237"/>
      <c r="AP691" s="237"/>
      <c r="AQ691" s="237"/>
      <c r="AR691" s="237"/>
      <c r="AS691" s="237"/>
      <c r="AT691" s="361"/>
      <c r="AU691" s="91">
        <f t="shared" si="54"/>
        <v>0</v>
      </c>
    </row>
    <row r="692" spans="2:47" hidden="1" x14ac:dyDescent="0.25">
      <c r="B692" s="2">
        <f>+'Base de Datos'!E692</f>
        <v>0</v>
      </c>
      <c r="C692" s="2">
        <f>+'Base de Datos'!F692</f>
        <v>0</v>
      </c>
      <c r="D692" s="2">
        <f>+'Base de Datos'!G692</f>
        <v>0</v>
      </c>
      <c r="E692" s="2">
        <f>+'Base de Datos'!H692</f>
        <v>0</v>
      </c>
      <c r="F692" s="221">
        <f>+'Base de Datos'!I692</f>
        <v>0</v>
      </c>
      <c r="G692" s="220">
        <f>+'Base de Datos'!M692</f>
        <v>0</v>
      </c>
      <c r="H692" s="220">
        <f>+'Base de Datos'!N692</f>
        <v>0</v>
      </c>
      <c r="I692" s="179"/>
      <c r="J692" s="361"/>
      <c r="K692" s="237"/>
      <c r="L692" s="364"/>
      <c r="M692" s="179"/>
      <c r="N692" s="361"/>
      <c r="O692" s="179"/>
      <c r="P692" s="366"/>
      <c r="Q692" s="86">
        <f t="shared" si="52"/>
        <v>0</v>
      </c>
      <c r="R692" s="284"/>
      <c r="S692" s="361"/>
      <c r="T692" s="179"/>
      <c r="U692" s="361"/>
      <c r="V692" s="179"/>
      <c r="W692" s="361"/>
      <c r="X692" s="179"/>
      <c r="Y692" s="361"/>
      <c r="Z692" s="354"/>
      <c r="AA692" s="89">
        <f t="shared" si="53"/>
        <v>0</v>
      </c>
      <c r="AB692" s="237"/>
      <c r="AC692" s="237"/>
      <c r="AD692" s="237"/>
      <c r="AE692" s="237"/>
      <c r="AF692" s="237"/>
      <c r="AG692" s="237"/>
      <c r="AH692" s="237"/>
      <c r="AI692" s="237"/>
      <c r="AJ692" s="237"/>
      <c r="AK692" s="237"/>
      <c r="AL692" s="237"/>
      <c r="AM692" s="237"/>
      <c r="AN692" s="237"/>
      <c r="AO692" s="237"/>
      <c r="AP692" s="237"/>
      <c r="AQ692" s="237"/>
      <c r="AR692" s="237"/>
      <c r="AS692" s="237"/>
      <c r="AT692" s="361"/>
      <c r="AU692" s="91">
        <f t="shared" si="54"/>
        <v>0</v>
      </c>
    </row>
    <row r="693" spans="2:47" hidden="1" x14ac:dyDescent="0.25">
      <c r="B693" s="2">
        <f>+'Base de Datos'!E693</f>
        <v>0</v>
      </c>
      <c r="C693" s="2">
        <f>+'Base de Datos'!F693</f>
        <v>0</v>
      </c>
      <c r="D693" s="2">
        <f>+'Base de Datos'!G693</f>
        <v>0</v>
      </c>
      <c r="E693" s="2">
        <f>+'Base de Datos'!H693</f>
        <v>0</v>
      </c>
      <c r="F693" s="221">
        <f>+'Base de Datos'!I693</f>
        <v>0</v>
      </c>
      <c r="G693" s="220">
        <f>+'Base de Datos'!M693</f>
        <v>0</v>
      </c>
      <c r="H693" s="220">
        <f>+'Base de Datos'!N693</f>
        <v>0</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idden="1" x14ac:dyDescent="0.25">
      <c r="B694" s="2">
        <f>+'Base de Datos'!E694</f>
        <v>0</v>
      </c>
      <c r="C694" s="2">
        <f>+'Base de Datos'!F694</f>
        <v>0</v>
      </c>
      <c r="D694" s="2">
        <f>+'Base de Datos'!G694</f>
        <v>0</v>
      </c>
      <c r="E694" s="2">
        <f>+'Base de Datos'!H694</f>
        <v>0</v>
      </c>
      <c r="F694" s="221">
        <f>+'Base de Datos'!I694</f>
        <v>0</v>
      </c>
      <c r="G694" s="220">
        <f>+'Base de Datos'!M694</f>
        <v>0</v>
      </c>
      <c r="H694" s="220">
        <f>+'Base de Datos'!N694</f>
        <v>0</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idden="1" x14ac:dyDescent="0.25">
      <c r="B695" s="2">
        <f>+'Base de Datos'!E695</f>
        <v>0</v>
      </c>
      <c r="C695" s="2">
        <f>+'Base de Datos'!F695</f>
        <v>0</v>
      </c>
      <c r="D695" s="2">
        <f>+'Base de Datos'!G695</f>
        <v>0</v>
      </c>
      <c r="E695" s="2">
        <f>+'Base de Datos'!H695</f>
        <v>0</v>
      </c>
      <c r="F695" s="221">
        <f>+'Base de Datos'!I695</f>
        <v>0</v>
      </c>
      <c r="G695" s="220">
        <f>+'Base de Datos'!M695</f>
        <v>0</v>
      </c>
      <c r="H695" s="220">
        <f>+'Base de Datos'!N695</f>
        <v>0</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idden="1" x14ac:dyDescent="0.25">
      <c r="B696" s="2">
        <f>+'Base de Datos'!E696</f>
        <v>0</v>
      </c>
      <c r="C696" s="2">
        <f>+'Base de Datos'!F696</f>
        <v>0</v>
      </c>
      <c r="D696" s="2">
        <f>+'Base de Datos'!G696</f>
        <v>0</v>
      </c>
      <c r="E696" s="2">
        <f>+'Base de Datos'!H696</f>
        <v>0</v>
      </c>
      <c r="F696" s="221">
        <f>+'Base de Datos'!I696</f>
        <v>0</v>
      </c>
      <c r="G696" s="220">
        <f>+'Base de Datos'!M696</f>
        <v>0</v>
      </c>
      <c r="H696" s="220">
        <f>+'Base de Datos'!N696</f>
        <v>0</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c r="AC696" s="237"/>
      <c r="AD696" s="237"/>
      <c r="AE696" s="237"/>
      <c r="AF696" s="237"/>
      <c r="AG696" s="237"/>
      <c r="AH696" s="237"/>
      <c r="AI696" s="237"/>
      <c r="AJ696" s="237"/>
      <c r="AK696" s="237"/>
      <c r="AL696" s="237"/>
      <c r="AM696" s="237"/>
      <c r="AN696" s="237"/>
      <c r="AO696" s="237"/>
      <c r="AP696" s="237"/>
      <c r="AQ696" s="237"/>
      <c r="AR696" s="237"/>
      <c r="AS696" s="237"/>
      <c r="AT696" s="361"/>
      <c r="AU696" s="91">
        <f t="shared" si="54"/>
        <v>0</v>
      </c>
    </row>
    <row r="697" spans="2:47" hidden="1" x14ac:dyDescent="0.25">
      <c r="B697" s="2">
        <f>+'Base de Datos'!E697</f>
        <v>0</v>
      </c>
      <c r="C697" s="2">
        <f>+'Base de Datos'!F697</f>
        <v>0</v>
      </c>
      <c r="D697" s="2">
        <f>+'Base de Datos'!G697</f>
        <v>0</v>
      </c>
      <c r="E697" s="2">
        <f>+'Base de Datos'!H697</f>
        <v>0</v>
      </c>
      <c r="F697" s="221">
        <f>+'Base de Datos'!I697</f>
        <v>0</v>
      </c>
      <c r="G697" s="220">
        <f>+'Base de Datos'!M697</f>
        <v>0</v>
      </c>
      <c r="H697" s="220">
        <f>+'Base de Datos'!N697</f>
        <v>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c r="AC697" s="237"/>
      <c r="AD697" s="237"/>
      <c r="AE697" s="237"/>
      <c r="AF697" s="237"/>
      <c r="AG697" s="237"/>
      <c r="AH697" s="237"/>
      <c r="AI697" s="237"/>
      <c r="AJ697" s="237"/>
      <c r="AK697" s="237"/>
      <c r="AL697" s="237"/>
      <c r="AM697" s="237"/>
      <c r="AN697" s="237"/>
      <c r="AO697" s="237"/>
      <c r="AP697" s="237"/>
      <c r="AQ697" s="237"/>
      <c r="AR697" s="237"/>
      <c r="AS697" s="237"/>
      <c r="AT697" s="361"/>
      <c r="AU697" s="91">
        <f t="shared" si="54"/>
        <v>0</v>
      </c>
    </row>
    <row r="698" spans="2:47" hidden="1" x14ac:dyDescent="0.25">
      <c r="B698" s="2">
        <f>+'Base de Datos'!E698</f>
        <v>0</v>
      </c>
      <c r="C698" s="2">
        <f>+'Base de Datos'!F698</f>
        <v>0</v>
      </c>
      <c r="D698" s="2">
        <f>+'Base de Datos'!G698</f>
        <v>0</v>
      </c>
      <c r="E698" s="2">
        <f>+'Base de Datos'!H698</f>
        <v>0</v>
      </c>
      <c r="F698" s="221">
        <f>+'Base de Datos'!I698</f>
        <v>0</v>
      </c>
      <c r="G698" s="220">
        <f>+'Base de Datos'!M698</f>
        <v>0</v>
      </c>
      <c r="H698" s="220">
        <f>+'Base de Datos'!N698</f>
        <v>0</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c r="AC698" s="237"/>
      <c r="AD698" s="237"/>
      <c r="AE698" s="237"/>
      <c r="AF698" s="237"/>
      <c r="AG698" s="237"/>
      <c r="AH698" s="237"/>
      <c r="AI698" s="237"/>
      <c r="AJ698" s="237"/>
      <c r="AK698" s="237"/>
      <c r="AL698" s="237"/>
      <c r="AM698" s="237"/>
      <c r="AN698" s="237"/>
      <c r="AO698" s="237"/>
      <c r="AP698" s="237"/>
      <c r="AQ698" s="237"/>
      <c r="AR698" s="237"/>
      <c r="AS698" s="237"/>
      <c r="AT698" s="361"/>
      <c r="AU698" s="91">
        <f t="shared" si="54"/>
        <v>0</v>
      </c>
    </row>
    <row r="699" spans="2:47" hidden="1" x14ac:dyDescent="0.25">
      <c r="B699" s="2">
        <f>+'Base de Datos'!E699</f>
        <v>0</v>
      </c>
      <c r="C699" s="2">
        <f>+'Base de Datos'!F699</f>
        <v>0</v>
      </c>
      <c r="D699" s="2">
        <f>+'Base de Datos'!G699</f>
        <v>0</v>
      </c>
      <c r="E699" s="2">
        <f>+'Base de Datos'!H699</f>
        <v>0</v>
      </c>
      <c r="F699" s="221">
        <f>+'Base de Datos'!I699</f>
        <v>0</v>
      </c>
      <c r="G699" s="220">
        <f>+'Base de Datos'!M699</f>
        <v>0</v>
      </c>
      <c r="H699" s="220">
        <f>+'Base de Datos'!N699</f>
        <v>0</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idden="1" x14ac:dyDescent="0.25">
      <c r="B700" s="2">
        <f>+'Base de Datos'!E700</f>
        <v>0</v>
      </c>
      <c r="C700" s="2">
        <f>+'Base de Datos'!F700</f>
        <v>0</v>
      </c>
      <c r="D700" s="2">
        <f>+'Base de Datos'!G700</f>
        <v>0</v>
      </c>
      <c r="E700" s="2">
        <f>+'Base de Datos'!H700</f>
        <v>0</v>
      </c>
      <c r="F700" s="221">
        <f>+'Base de Datos'!I700</f>
        <v>0</v>
      </c>
      <c r="G700" s="220">
        <f>+'Base de Datos'!M700</f>
        <v>0</v>
      </c>
      <c r="H700" s="220">
        <f>+'Base de Datos'!N700</f>
        <v>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idden="1" x14ac:dyDescent="0.25">
      <c r="B701" s="2">
        <f>+'Base de Datos'!E701</f>
        <v>0</v>
      </c>
      <c r="C701" s="2">
        <f>+'Base de Datos'!F701</f>
        <v>0</v>
      </c>
      <c r="D701" s="2">
        <f>+'Base de Datos'!G701</f>
        <v>0</v>
      </c>
      <c r="E701" s="2">
        <f>+'Base de Datos'!H701</f>
        <v>0</v>
      </c>
      <c r="F701" s="221">
        <f>+'Base de Datos'!I701</f>
        <v>0</v>
      </c>
      <c r="G701" s="220">
        <f>+'Base de Datos'!M701</f>
        <v>0</v>
      </c>
      <c r="H701" s="220">
        <f>+'Base de Datos'!N701</f>
        <v>0</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c r="AC701" s="237"/>
      <c r="AD701" s="237"/>
      <c r="AE701" s="237"/>
      <c r="AF701" s="237"/>
      <c r="AG701" s="237"/>
      <c r="AH701" s="237"/>
      <c r="AI701" s="237"/>
      <c r="AJ701" s="237"/>
      <c r="AK701" s="237"/>
      <c r="AL701" s="237"/>
      <c r="AM701" s="237"/>
      <c r="AN701" s="237"/>
      <c r="AO701" s="237"/>
      <c r="AP701" s="237"/>
      <c r="AQ701" s="237"/>
      <c r="AR701" s="237"/>
      <c r="AS701" s="237"/>
      <c r="AT701" s="361"/>
      <c r="AU701" s="91">
        <f t="shared" si="54"/>
        <v>0</v>
      </c>
    </row>
    <row r="702" spans="2:47" hidden="1" x14ac:dyDescent="0.25">
      <c r="B702" s="2">
        <f>+'Base de Datos'!E702</f>
        <v>0</v>
      </c>
      <c r="C702" s="2">
        <f>+'Base de Datos'!F702</f>
        <v>0</v>
      </c>
      <c r="D702" s="2">
        <f>+'Base de Datos'!G702</f>
        <v>0</v>
      </c>
      <c r="E702" s="2">
        <f>+'Base de Datos'!H702</f>
        <v>0</v>
      </c>
      <c r="F702" s="221">
        <f>+'Base de Datos'!I702</f>
        <v>0</v>
      </c>
      <c r="G702" s="220">
        <f>+'Base de Datos'!M702</f>
        <v>0</v>
      </c>
      <c r="H702" s="220">
        <f>+'Base de Datos'!N702</f>
        <v>0</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0</v>
      </c>
    </row>
    <row r="703" spans="2:47" hidden="1" x14ac:dyDescent="0.25">
      <c r="B703" s="2">
        <f>+'Base de Datos'!E703</f>
        <v>0</v>
      </c>
      <c r="C703" s="2">
        <f>+'Base de Datos'!F703</f>
        <v>0</v>
      </c>
      <c r="D703" s="2">
        <f>+'Base de Datos'!G703</f>
        <v>0</v>
      </c>
      <c r="E703" s="2">
        <f>+'Base de Datos'!H703</f>
        <v>0</v>
      </c>
      <c r="F703" s="221">
        <f>+'Base de Datos'!I703</f>
        <v>0</v>
      </c>
      <c r="G703" s="220">
        <f>+'Base de Datos'!M703</f>
        <v>0</v>
      </c>
      <c r="H703" s="220">
        <f>+'Base de Datos'!N703</f>
        <v>0</v>
      </c>
      <c r="I703" s="179"/>
      <c r="J703" s="361"/>
      <c r="K703" s="237"/>
      <c r="L703" s="364"/>
      <c r="M703" s="179"/>
      <c r="N703" s="361"/>
      <c r="O703" s="179"/>
      <c r="P703" s="366"/>
      <c r="Q703" s="86">
        <f t="shared" si="52"/>
        <v>0</v>
      </c>
      <c r="R703" s="284"/>
      <c r="S703" s="361"/>
      <c r="T703" s="179"/>
      <c r="U703" s="361"/>
      <c r="V703" s="179"/>
      <c r="W703" s="361"/>
      <c r="X703" s="179"/>
      <c r="Y703" s="361"/>
      <c r="Z703" s="354"/>
      <c r="AA703" s="89">
        <f t="shared" si="53"/>
        <v>0</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idden="1" x14ac:dyDescent="0.25">
      <c r="B704" s="2">
        <f>+'Base de Datos'!E704</f>
        <v>0</v>
      </c>
      <c r="C704" s="2">
        <f>+'Base de Datos'!F704</f>
        <v>0</v>
      </c>
      <c r="D704" s="2">
        <f>+'Base de Datos'!G704</f>
        <v>0</v>
      </c>
      <c r="E704" s="2">
        <f>+'Base de Datos'!H704</f>
        <v>0</v>
      </c>
      <c r="F704" s="221">
        <f>+'Base de Datos'!I704</f>
        <v>0</v>
      </c>
      <c r="G704" s="220">
        <f>+'Base de Datos'!M704</f>
        <v>0</v>
      </c>
      <c r="H704" s="220">
        <f>+'Base de Datos'!N704</f>
        <v>0</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idden="1" x14ac:dyDescent="0.25">
      <c r="B705" s="2">
        <f>+'Base de Datos'!E705</f>
        <v>0</v>
      </c>
      <c r="C705" s="2">
        <f>+'Base de Datos'!F705</f>
        <v>0</v>
      </c>
      <c r="D705" s="2">
        <f>+'Base de Datos'!G705</f>
        <v>0</v>
      </c>
      <c r="E705" s="2">
        <f>+'Base de Datos'!H705</f>
        <v>0</v>
      </c>
      <c r="F705" s="221">
        <f>+'Base de Datos'!I705</f>
        <v>0</v>
      </c>
      <c r="G705" s="220">
        <f>+'Base de Datos'!M705</f>
        <v>0</v>
      </c>
      <c r="H705" s="220">
        <f>+'Base de Datos'!N705</f>
        <v>0</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c r="AC705" s="237"/>
      <c r="AD705" s="237"/>
      <c r="AE705" s="237"/>
      <c r="AF705" s="237"/>
      <c r="AG705" s="237"/>
      <c r="AH705" s="237"/>
      <c r="AI705" s="237"/>
      <c r="AJ705" s="237"/>
      <c r="AK705" s="237"/>
      <c r="AL705" s="237"/>
      <c r="AM705" s="237"/>
      <c r="AN705" s="237"/>
      <c r="AO705" s="237"/>
      <c r="AP705" s="237"/>
      <c r="AQ705" s="237"/>
      <c r="AR705" s="237"/>
      <c r="AS705" s="237"/>
      <c r="AT705" s="361"/>
      <c r="AU705" s="91">
        <f t="shared" si="54"/>
        <v>0</v>
      </c>
    </row>
    <row r="706" spans="2:47" hidden="1" x14ac:dyDescent="0.25">
      <c r="B706" s="2">
        <f>+'Base de Datos'!E706</f>
        <v>0</v>
      </c>
      <c r="C706" s="2">
        <f>+'Base de Datos'!F706</f>
        <v>0</v>
      </c>
      <c r="D706" s="2">
        <f>+'Base de Datos'!G706</f>
        <v>0</v>
      </c>
      <c r="E706" s="2">
        <f>+'Base de Datos'!H706</f>
        <v>0</v>
      </c>
      <c r="F706" s="221">
        <f>+'Base de Datos'!I706</f>
        <v>0</v>
      </c>
      <c r="G706" s="220">
        <f>+'Base de Datos'!M706</f>
        <v>0</v>
      </c>
      <c r="H706" s="220">
        <f>+'Base de Datos'!N706</f>
        <v>0</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c r="AC706" s="237"/>
      <c r="AD706" s="237"/>
      <c r="AE706" s="237"/>
      <c r="AF706" s="237"/>
      <c r="AG706" s="237"/>
      <c r="AH706" s="237"/>
      <c r="AI706" s="237"/>
      <c r="AJ706" s="237"/>
      <c r="AK706" s="237"/>
      <c r="AL706" s="237"/>
      <c r="AM706" s="237"/>
      <c r="AN706" s="237"/>
      <c r="AO706" s="237"/>
      <c r="AP706" s="237"/>
      <c r="AQ706" s="237"/>
      <c r="AR706" s="237"/>
      <c r="AS706" s="237"/>
      <c r="AT706" s="361"/>
      <c r="AU706" s="91">
        <f t="shared" si="54"/>
        <v>0</v>
      </c>
    </row>
    <row r="707" spans="2:47" hidden="1" x14ac:dyDescent="0.25">
      <c r="B707" s="2">
        <f>+'Base de Datos'!E707</f>
        <v>0</v>
      </c>
      <c r="C707" s="2">
        <f>+'Base de Datos'!F707</f>
        <v>0</v>
      </c>
      <c r="D707" s="2">
        <f>+'Base de Datos'!G707</f>
        <v>0</v>
      </c>
      <c r="E707" s="2">
        <f>+'Base de Datos'!H707</f>
        <v>0</v>
      </c>
      <c r="F707" s="221">
        <f>+'Base de Datos'!I707</f>
        <v>0</v>
      </c>
      <c r="G707" s="220">
        <f>+'Base de Datos'!M707</f>
        <v>0</v>
      </c>
      <c r="H707" s="220">
        <f>+'Base de Datos'!N707</f>
        <v>0</v>
      </c>
      <c r="I707" s="179"/>
      <c r="J707" s="361"/>
      <c r="K707" s="237"/>
      <c r="L707" s="364"/>
      <c r="M707" s="179"/>
      <c r="N707" s="361"/>
      <c r="O707" s="179"/>
      <c r="P707" s="366"/>
      <c r="Q707" s="86">
        <f t="shared" si="52"/>
        <v>0</v>
      </c>
      <c r="R707" s="284"/>
      <c r="S707" s="361"/>
      <c r="T707" s="179"/>
      <c r="U707" s="361"/>
      <c r="V707" s="179"/>
      <c r="W707" s="361"/>
      <c r="X707" s="179"/>
      <c r="Y707" s="361"/>
      <c r="Z707" s="354"/>
      <c r="AA707" s="89">
        <f t="shared" si="53"/>
        <v>0</v>
      </c>
      <c r="AB707" s="237"/>
      <c r="AC707" s="237"/>
      <c r="AD707" s="237"/>
      <c r="AE707" s="237"/>
      <c r="AF707" s="237"/>
      <c r="AG707" s="237"/>
      <c r="AH707" s="237"/>
      <c r="AI707" s="237"/>
      <c r="AJ707" s="237"/>
      <c r="AK707" s="237"/>
      <c r="AL707" s="237"/>
      <c r="AM707" s="237"/>
      <c r="AN707" s="237"/>
      <c r="AO707" s="237"/>
      <c r="AP707" s="237"/>
      <c r="AQ707" s="237"/>
      <c r="AR707" s="237"/>
      <c r="AS707" s="237"/>
      <c r="AT707" s="361"/>
      <c r="AU707" s="91">
        <f t="shared" si="54"/>
        <v>0</v>
      </c>
    </row>
    <row r="708" spans="2:47" hidden="1" x14ac:dyDescent="0.25">
      <c r="B708" s="2">
        <f>+'Base de Datos'!E708</f>
        <v>0</v>
      </c>
      <c r="C708" s="2">
        <f>+'Base de Datos'!F708</f>
        <v>0</v>
      </c>
      <c r="D708" s="2">
        <f>+'Base de Datos'!G708</f>
        <v>0</v>
      </c>
      <c r="E708" s="2">
        <f>+'Base de Datos'!H708</f>
        <v>0</v>
      </c>
      <c r="F708" s="221">
        <f>+'Base de Datos'!I708</f>
        <v>0</v>
      </c>
      <c r="G708" s="220">
        <f>+'Base de Datos'!M708</f>
        <v>0</v>
      </c>
      <c r="H708" s="220">
        <f>+'Base de Datos'!N708</f>
        <v>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c r="AC708" s="237"/>
      <c r="AD708" s="237"/>
      <c r="AE708" s="237"/>
      <c r="AF708" s="237"/>
      <c r="AG708" s="237"/>
      <c r="AH708" s="237"/>
      <c r="AI708" s="237"/>
      <c r="AJ708" s="237"/>
      <c r="AK708" s="237"/>
      <c r="AL708" s="237"/>
      <c r="AM708" s="237"/>
      <c r="AN708" s="237"/>
      <c r="AO708" s="237"/>
      <c r="AP708" s="237"/>
      <c r="AQ708" s="237"/>
      <c r="AR708" s="237"/>
      <c r="AS708" s="237"/>
      <c r="AT708" s="361"/>
      <c r="AU708" s="91">
        <f t="shared" si="54"/>
        <v>0</v>
      </c>
    </row>
    <row r="709" spans="2:47" hidden="1" x14ac:dyDescent="0.25">
      <c r="B709" s="2">
        <f>+'Base de Datos'!E709</f>
        <v>0</v>
      </c>
      <c r="C709" s="2">
        <f>+'Base de Datos'!F709</f>
        <v>0</v>
      </c>
      <c r="D709" s="2">
        <f>+'Base de Datos'!G709</f>
        <v>0</v>
      </c>
      <c r="E709" s="2">
        <f>+'Base de Datos'!H709</f>
        <v>0</v>
      </c>
      <c r="F709" s="221">
        <f>+'Base de Datos'!I709</f>
        <v>0</v>
      </c>
      <c r="G709" s="220">
        <f>+'Base de Datos'!M709</f>
        <v>0</v>
      </c>
      <c r="H709" s="220">
        <f>+'Base de Datos'!N709</f>
        <v>0</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idden="1" x14ac:dyDescent="0.25">
      <c r="B710" s="2">
        <f>+'Base de Datos'!E710</f>
        <v>0</v>
      </c>
      <c r="C710" s="2">
        <f>+'Base de Datos'!F710</f>
        <v>0</v>
      </c>
      <c r="D710" s="2">
        <f>+'Base de Datos'!G710</f>
        <v>0</v>
      </c>
      <c r="E710" s="2">
        <f>+'Base de Datos'!H710</f>
        <v>0</v>
      </c>
      <c r="F710" s="221">
        <f>+'Base de Datos'!I710</f>
        <v>0</v>
      </c>
      <c r="G710" s="220">
        <f>+'Base de Datos'!M710</f>
        <v>0</v>
      </c>
      <c r="H710" s="220">
        <f>+'Base de Datos'!N710</f>
        <v>0</v>
      </c>
      <c r="I710" s="179"/>
      <c r="J710" s="361"/>
      <c r="K710" s="237"/>
      <c r="L710" s="364"/>
      <c r="M710" s="179"/>
      <c r="N710" s="361"/>
      <c r="O710" s="179"/>
      <c r="P710" s="366"/>
      <c r="Q710" s="86">
        <f t="shared" si="52"/>
        <v>0</v>
      </c>
      <c r="R710" s="284"/>
      <c r="S710" s="361"/>
      <c r="T710" s="179"/>
      <c r="U710" s="361"/>
      <c r="V710" s="179"/>
      <c r="W710" s="361"/>
      <c r="X710" s="179"/>
      <c r="Y710" s="361"/>
      <c r="Z710" s="354"/>
      <c r="AA710" s="89">
        <f t="shared" si="53"/>
        <v>0</v>
      </c>
      <c r="AB710" s="237"/>
      <c r="AC710" s="237"/>
      <c r="AD710" s="237"/>
      <c r="AE710" s="237"/>
      <c r="AF710" s="237"/>
      <c r="AG710" s="237"/>
      <c r="AH710" s="237"/>
      <c r="AI710" s="237"/>
      <c r="AJ710" s="237"/>
      <c r="AK710" s="237"/>
      <c r="AL710" s="237"/>
      <c r="AM710" s="237"/>
      <c r="AN710" s="237"/>
      <c r="AO710" s="237"/>
      <c r="AP710" s="237"/>
      <c r="AQ710" s="237"/>
      <c r="AR710" s="237"/>
      <c r="AS710" s="237"/>
      <c r="AT710" s="361"/>
      <c r="AU710" s="91">
        <f t="shared" si="54"/>
        <v>0</v>
      </c>
    </row>
    <row r="711" spans="2:47" hidden="1" x14ac:dyDescent="0.25">
      <c r="B711" s="2">
        <f>+'Base de Datos'!E711</f>
        <v>0</v>
      </c>
      <c r="C711" s="2">
        <f>+'Base de Datos'!F711</f>
        <v>0</v>
      </c>
      <c r="D711" s="2">
        <f>+'Base de Datos'!G711</f>
        <v>0</v>
      </c>
      <c r="E711" s="2">
        <f>+'Base de Datos'!H711</f>
        <v>0</v>
      </c>
      <c r="F711" s="221">
        <f>+'Base de Datos'!I711</f>
        <v>0</v>
      </c>
      <c r="G711" s="220">
        <f>+'Base de Datos'!M711</f>
        <v>0</v>
      </c>
      <c r="H711" s="220">
        <f>+'Base de Datos'!N711</f>
        <v>0</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c r="AC711" s="237"/>
      <c r="AD711" s="237"/>
      <c r="AE711" s="237"/>
      <c r="AF711" s="237"/>
      <c r="AG711" s="237"/>
      <c r="AH711" s="237"/>
      <c r="AI711" s="237"/>
      <c r="AJ711" s="237"/>
      <c r="AK711" s="237"/>
      <c r="AL711" s="237"/>
      <c r="AM711" s="237"/>
      <c r="AN711" s="237"/>
      <c r="AO711" s="237"/>
      <c r="AP711" s="237"/>
      <c r="AQ711" s="237"/>
      <c r="AR711" s="237"/>
      <c r="AS711" s="237"/>
      <c r="AT711" s="361"/>
      <c r="AU711" s="91">
        <f t="shared" si="54"/>
        <v>0</v>
      </c>
    </row>
    <row r="712" spans="2:47" hidden="1" x14ac:dyDescent="0.25">
      <c r="B712" s="2">
        <f>+'Base de Datos'!E712</f>
        <v>0</v>
      </c>
      <c r="C712" s="2">
        <f>+'Base de Datos'!F712</f>
        <v>0</v>
      </c>
      <c r="D712" s="2">
        <f>+'Base de Datos'!G712</f>
        <v>0</v>
      </c>
      <c r="E712" s="2">
        <f>+'Base de Datos'!H712</f>
        <v>0</v>
      </c>
      <c r="F712" s="221">
        <f>+'Base de Datos'!I712</f>
        <v>0</v>
      </c>
      <c r="G712" s="220">
        <f>+'Base de Datos'!M712</f>
        <v>0</v>
      </c>
      <c r="H712" s="220">
        <f>+'Base de Datos'!N712</f>
        <v>0</v>
      </c>
      <c r="I712" s="179"/>
      <c r="J712" s="361"/>
      <c r="K712" s="237"/>
      <c r="L712" s="364"/>
      <c r="M712" s="179"/>
      <c r="N712" s="361"/>
      <c r="O712" s="179"/>
      <c r="P712" s="366"/>
      <c r="Q712" s="86">
        <f t="shared" si="52"/>
        <v>0</v>
      </c>
      <c r="R712" s="284"/>
      <c r="S712" s="361"/>
      <c r="T712" s="179"/>
      <c r="U712" s="361"/>
      <c r="V712" s="179"/>
      <c r="W712" s="361"/>
      <c r="X712" s="179"/>
      <c r="Y712" s="361"/>
      <c r="Z712" s="354"/>
      <c r="AA712" s="89">
        <f t="shared" si="53"/>
        <v>0</v>
      </c>
      <c r="AB712" s="237"/>
      <c r="AC712" s="237"/>
      <c r="AD712" s="237"/>
      <c r="AE712" s="237"/>
      <c r="AF712" s="237"/>
      <c r="AG712" s="237"/>
      <c r="AH712" s="237"/>
      <c r="AI712" s="237"/>
      <c r="AJ712" s="237"/>
      <c r="AK712" s="237"/>
      <c r="AL712" s="237"/>
      <c r="AM712" s="237"/>
      <c r="AN712" s="237"/>
      <c r="AO712" s="237"/>
      <c r="AP712" s="237"/>
      <c r="AQ712" s="237"/>
      <c r="AR712" s="237"/>
      <c r="AS712" s="237"/>
      <c r="AT712" s="361"/>
      <c r="AU712" s="91">
        <f t="shared" si="54"/>
        <v>0</v>
      </c>
    </row>
    <row r="713" spans="2:47" hidden="1" x14ac:dyDescent="0.25">
      <c r="B713" s="2">
        <f>+'Base de Datos'!E713</f>
        <v>0</v>
      </c>
      <c r="C713" s="2">
        <f>+'Base de Datos'!F713</f>
        <v>0</v>
      </c>
      <c r="D713" s="2">
        <f>+'Base de Datos'!G713</f>
        <v>0</v>
      </c>
      <c r="E713" s="2">
        <f>+'Base de Datos'!H713</f>
        <v>0</v>
      </c>
      <c r="F713" s="221">
        <f>+'Base de Datos'!I713</f>
        <v>0</v>
      </c>
      <c r="G713" s="220">
        <f>+'Base de Datos'!M713</f>
        <v>0</v>
      </c>
      <c r="H713" s="220">
        <f>+'Base de Datos'!N713</f>
        <v>0</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idden="1" x14ac:dyDescent="0.25">
      <c r="B714" s="2">
        <f>+'Base de Datos'!E714</f>
        <v>0</v>
      </c>
      <c r="C714" s="2">
        <f>+'Base de Datos'!F714</f>
        <v>0</v>
      </c>
      <c r="D714" s="2">
        <f>+'Base de Datos'!G714</f>
        <v>0</v>
      </c>
      <c r="E714" s="2">
        <f>+'Base de Datos'!H714</f>
        <v>0</v>
      </c>
      <c r="F714" s="221">
        <f>+'Base de Datos'!I714</f>
        <v>0</v>
      </c>
      <c r="G714" s="220">
        <f>+'Base de Datos'!M714</f>
        <v>0</v>
      </c>
      <c r="H714" s="220">
        <f>+'Base de Datos'!N714</f>
        <v>0</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idden="1" x14ac:dyDescent="0.25">
      <c r="B715" s="2">
        <f>+'Base de Datos'!E715</f>
        <v>0</v>
      </c>
      <c r="C715" s="2">
        <f>+'Base de Datos'!F715</f>
        <v>0</v>
      </c>
      <c r="D715" s="2">
        <f>+'Base de Datos'!G715</f>
        <v>0</v>
      </c>
      <c r="E715" s="2">
        <f>+'Base de Datos'!H715</f>
        <v>0</v>
      </c>
      <c r="F715" s="221">
        <f>+'Base de Datos'!I715</f>
        <v>0</v>
      </c>
      <c r="G715" s="220">
        <f>+'Base de Datos'!M715</f>
        <v>0</v>
      </c>
      <c r="H715" s="220">
        <f>+'Base de Datos'!N715</f>
        <v>0</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c r="AC715" s="237"/>
      <c r="AD715" s="237"/>
      <c r="AE715" s="237"/>
      <c r="AF715" s="237"/>
      <c r="AG715" s="237"/>
      <c r="AH715" s="237"/>
      <c r="AI715" s="237"/>
      <c r="AJ715" s="237"/>
      <c r="AK715" s="237"/>
      <c r="AL715" s="237"/>
      <c r="AM715" s="237"/>
      <c r="AN715" s="237"/>
      <c r="AO715" s="237"/>
      <c r="AP715" s="237"/>
      <c r="AQ715" s="237"/>
      <c r="AR715" s="237"/>
      <c r="AS715" s="237"/>
      <c r="AT715" s="361"/>
      <c r="AU715" s="91">
        <f t="shared" si="54"/>
        <v>0</v>
      </c>
    </row>
    <row r="716" spans="2:47" hidden="1" x14ac:dyDescent="0.25">
      <c r="B716" s="2">
        <f>+'Base de Datos'!E716</f>
        <v>0</v>
      </c>
      <c r="C716" s="2">
        <f>+'Base de Datos'!F716</f>
        <v>0</v>
      </c>
      <c r="D716" s="2">
        <f>+'Base de Datos'!G716</f>
        <v>0</v>
      </c>
      <c r="E716" s="2">
        <f>+'Base de Datos'!H716</f>
        <v>0</v>
      </c>
      <c r="F716" s="221">
        <f>+'Base de Datos'!I716</f>
        <v>0</v>
      </c>
      <c r="G716" s="220">
        <f>+'Base de Datos'!M716</f>
        <v>0</v>
      </c>
      <c r="H716" s="220">
        <f>+'Base de Datos'!N716</f>
        <v>0</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c r="AC716" s="237"/>
      <c r="AD716" s="237"/>
      <c r="AE716" s="237"/>
      <c r="AF716" s="237"/>
      <c r="AG716" s="237"/>
      <c r="AH716" s="237"/>
      <c r="AI716" s="237"/>
      <c r="AJ716" s="237"/>
      <c r="AK716" s="237"/>
      <c r="AL716" s="237"/>
      <c r="AM716" s="237"/>
      <c r="AN716" s="237"/>
      <c r="AO716" s="237"/>
      <c r="AP716" s="237"/>
      <c r="AQ716" s="237"/>
      <c r="AR716" s="237"/>
      <c r="AS716" s="237"/>
      <c r="AT716" s="361"/>
      <c r="AU716" s="91">
        <f t="shared" si="54"/>
        <v>0</v>
      </c>
    </row>
    <row r="717" spans="2:47" hidden="1" x14ac:dyDescent="0.25">
      <c r="B717" s="2">
        <f>+'Base de Datos'!E717</f>
        <v>0</v>
      </c>
      <c r="C717" s="2">
        <f>+'Base de Datos'!F717</f>
        <v>0</v>
      </c>
      <c r="D717" s="2">
        <f>+'Base de Datos'!G717</f>
        <v>0</v>
      </c>
      <c r="E717" s="2">
        <f>+'Base de Datos'!H717</f>
        <v>0</v>
      </c>
      <c r="F717" s="221">
        <f>+'Base de Datos'!I717</f>
        <v>0</v>
      </c>
      <c r="G717" s="220">
        <f>+'Base de Datos'!M717</f>
        <v>0</v>
      </c>
      <c r="H717" s="220">
        <f>+'Base de Datos'!N717</f>
        <v>0</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idden="1" x14ac:dyDescent="0.25">
      <c r="B718" s="2">
        <f>+'Base de Datos'!E718</f>
        <v>0</v>
      </c>
      <c r="C718" s="2">
        <f>+'Base de Datos'!F718</f>
        <v>0</v>
      </c>
      <c r="D718" s="2">
        <f>+'Base de Datos'!G718</f>
        <v>0</v>
      </c>
      <c r="E718" s="2">
        <f>+'Base de Datos'!H718</f>
        <v>0</v>
      </c>
      <c r="F718" s="221">
        <f>+'Base de Datos'!I718</f>
        <v>0</v>
      </c>
      <c r="G718" s="220">
        <f>+'Base de Datos'!M718</f>
        <v>0</v>
      </c>
      <c r="H718" s="220">
        <f>+'Base de Datos'!N718</f>
        <v>0</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c r="AC718" s="237"/>
      <c r="AD718" s="237"/>
      <c r="AE718" s="237"/>
      <c r="AF718" s="237"/>
      <c r="AG718" s="237"/>
      <c r="AH718" s="237"/>
      <c r="AI718" s="237"/>
      <c r="AJ718" s="237"/>
      <c r="AK718" s="237"/>
      <c r="AL718" s="237"/>
      <c r="AM718" s="237"/>
      <c r="AN718" s="237"/>
      <c r="AO718" s="237"/>
      <c r="AP718" s="237"/>
      <c r="AQ718" s="237"/>
      <c r="AR718" s="237"/>
      <c r="AS718" s="237"/>
      <c r="AT718" s="361"/>
      <c r="AU718" s="91">
        <f t="shared" si="54"/>
        <v>0</v>
      </c>
    </row>
    <row r="719" spans="2:47" hidden="1" x14ac:dyDescent="0.25">
      <c r="B719" s="2">
        <f>+'Base de Datos'!E719</f>
        <v>0</v>
      </c>
      <c r="C719" s="2">
        <f>+'Base de Datos'!F719</f>
        <v>0</v>
      </c>
      <c r="D719" s="2">
        <f>+'Base de Datos'!G719</f>
        <v>0</v>
      </c>
      <c r="E719" s="2">
        <f>+'Base de Datos'!H719</f>
        <v>0</v>
      </c>
      <c r="F719" s="221">
        <f>+'Base de Datos'!I719</f>
        <v>0</v>
      </c>
      <c r="G719" s="220">
        <f>+'Base de Datos'!M719</f>
        <v>0</v>
      </c>
      <c r="H719" s="220">
        <f>+'Base de Datos'!N719</f>
        <v>0</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c r="AC719" s="237"/>
      <c r="AD719" s="237"/>
      <c r="AE719" s="237"/>
      <c r="AF719" s="237"/>
      <c r="AG719" s="237"/>
      <c r="AH719" s="237"/>
      <c r="AI719" s="237"/>
      <c r="AJ719" s="237"/>
      <c r="AK719" s="237"/>
      <c r="AL719" s="237"/>
      <c r="AM719" s="237"/>
      <c r="AN719" s="237"/>
      <c r="AO719" s="237"/>
      <c r="AP719" s="237"/>
      <c r="AQ719" s="237"/>
      <c r="AR719" s="237"/>
      <c r="AS719" s="237"/>
      <c r="AT719" s="361"/>
      <c r="AU719" s="91">
        <f t="shared" si="54"/>
        <v>0</v>
      </c>
    </row>
    <row r="720" spans="2:47" hidden="1" x14ac:dyDescent="0.25">
      <c r="B720" s="2">
        <f>+'Base de Datos'!E720</f>
        <v>0</v>
      </c>
      <c r="C720" s="2">
        <f>+'Base de Datos'!F720</f>
        <v>0</v>
      </c>
      <c r="D720" s="2">
        <f>+'Base de Datos'!G720</f>
        <v>0</v>
      </c>
      <c r="E720" s="2">
        <f>+'Base de Datos'!H720</f>
        <v>0</v>
      </c>
      <c r="F720" s="221">
        <f>+'Base de Datos'!I720</f>
        <v>0</v>
      </c>
      <c r="G720" s="220">
        <f>+'Base de Datos'!M720</f>
        <v>0</v>
      </c>
      <c r="H720" s="220">
        <f>+'Base de Datos'!N720</f>
        <v>0</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c r="AC720" s="237"/>
      <c r="AD720" s="237"/>
      <c r="AE720" s="237"/>
      <c r="AF720" s="237"/>
      <c r="AG720" s="237"/>
      <c r="AH720" s="237"/>
      <c r="AI720" s="237"/>
      <c r="AJ720" s="237"/>
      <c r="AK720" s="237"/>
      <c r="AL720" s="237"/>
      <c r="AM720" s="237"/>
      <c r="AN720" s="237"/>
      <c r="AO720" s="237"/>
      <c r="AP720" s="237"/>
      <c r="AQ720" s="237"/>
      <c r="AR720" s="237"/>
      <c r="AS720" s="237"/>
      <c r="AT720" s="361"/>
      <c r="AU720" s="91">
        <f t="shared" si="54"/>
        <v>0</v>
      </c>
    </row>
    <row r="721" spans="2:47" hidden="1" x14ac:dyDescent="0.25">
      <c r="B721" s="2">
        <f>+'Base de Datos'!E721</f>
        <v>0</v>
      </c>
      <c r="C721" s="2">
        <f>+'Base de Datos'!F721</f>
        <v>0</v>
      </c>
      <c r="D721" s="2">
        <f>+'Base de Datos'!G721</f>
        <v>0</v>
      </c>
      <c r="E721" s="2">
        <f>+'Base de Datos'!H721</f>
        <v>0</v>
      </c>
      <c r="F721" s="221">
        <f>+'Base de Datos'!I721</f>
        <v>0</v>
      </c>
      <c r="G721" s="220">
        <f>+'Base de Datos'!M721</f>
        <v>0</v>
      </c>
      <c r="H721" s="220">
        <f>+'Base de Datos'!N721</f>
        <v>0</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c r="AC721" s="237"/>
      <c r="AD721" s="237"/>
      <c r="AE721" s="237"/>
      <c r="AF721" s="237"/>
      <c r="AG721" s="237"/>
      <c r="AH721" s="237"/>
      <c r="AI721" s="237"/>
      <c r="AJ721" s="237"/>
      <c r="AK721" s="237"/>
      <c r="AL721" s="237"/>
      <c r="AM721" s="237"/>
      <c r="AN721" s="237"/>
      <c r="AO721" s="237"/>
      <c r="AP721" s="237"/>
      <c r="AQ721" s="237"/>
      <c r="AR721" s="237"/>
      <c r="AS721" s="237"/>
      <c r="AT721" s="361"/>
      <c r="AU721" s="91">
        <f t="shared" si="54"/>
        <v>0</v>
      </c>
    </row>
    <row r="722" spans="2:47" hidden="1" x14ac:dyDescent="0.25">
      <c r="B722" s="2">
        <f>+'Base de Datos'!E722</f>
        <v>0</v>
      </c>
      <c r="C722" s="2">
        <f>+'Base de Datos'!F722</f>
        <v>0</v>
      </c>
      <c r="D722" s="2">
        <f>+'Base de Datos'!G722</f>
        <v>0</v>
      </c>
      <c r="E722" s="2">
        <f>+'Base de Datos'!H722</f>
        <v>0</v>
      </c>
      <c r="F722" s="221">
        <f>+'Base de Datos'!I722</f>
        <v>0</v>
      </c>
      <c r="G722" s="220">
        <f>+'Base de Datos'!M722</f>
        <v>0</v>
      </c>
      <c r="H722" s="220">
        <f>+'Base de Datos'!N722</f>
        <v>0</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c r="AC722" s="237"/>
      <c r="AD722" s="237"/>
      <c r="AE722" s="237"/>
      <c r="AF722" s="237"/>
      <c r="AG722" s="237"/>
      <c r="AH722" s="237"/>
      <c r="AI722" s="237"/>
      <c r="AJ722" s="237"/>
      <c r="AK722" s="237"/>
      <c r="AL722" s="237"/>
      <c r="AM722" s="237"/>
      <c r="AN722" s="237"/>
      <c r="AO722" s="237"/>
      <c r="AP722" s="237"/>
      <c r="AQ722" s="237"/>
      <c r="AR722" s="237"/>
      <c r="AS722" s="237"/>
      <c r="AT722" s="361"/>
      <c r="AU722" s="91">
        <f t="shared" si="54"/>
        <v>0</v>
      </c>
    </row>
    <row r="723" spans="2:47" hidden="1" x14ac:dyDescent="0.25">
      <c r="B723" s="2">
        <f>+'Base de Datos'!E723</f>
        <v>0</v>
      </c>
      <c r="C723" s="2">
        <f>+'Base de Datos'!F723</f>
        <v>0</v>
      </c>
      <c r="D723" s="2">
        <f>+'Base de Datos'!G723</f>
        <v>0</v>
      </c>
      <c r="E723" s="2">
        <f>+'Base de Datos'!H723</f>
        <v>0</v>
      </c>
      <c r="F723" s="221">
        <f>+'Base de Datos'!I723</f>
        <v>0</v>
      </c>
      <c r="G723" s="220">
        <f>+'Base de Datos'!M723</f>
        <v>0</v>
      </c>
      <c r="H723" s="220">
        <f>+'Base de Datos'!N723</f>
        <v>0</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c r="AC723" s="237"/>
      <c r="AD723" s="237"/>
      <c r="AE723" s="237"/>
      <c r="AF723" s="237"/>
      <c r="AG723" s="237"/>
      <c r="AH723" s="237"/>
      <c r="AI723" s="237"/>
      <c r="AJ723" s="237"/>
      <c r="AK723" s="237"/>
      <c r="AL723" s="237"/>
      <c r="AM723" s="237"/>
      <c r="AN723" s="237"/>
      <c r="AO723" s="237"/>
      <c r="AP723" s="237"/>
      <c r="AQ723" s="237"/>
      <c r="AR723" s="237"/>
      <c r="AS723" s="237"/>
      <c r="AT723" s="361"/>
      <c r="AU723" s="91">
        <f t="shared" si="54"/>
        <v>0</v>
      </c>
    </row>
    <row r="724" spans="2:47" hidden="1" x14ac:dyDescent="0.25">
      <c r="B724" s="2">
        <f>+'Base de Datos'!E724</f>
        <v>0</v>
      </c>
      <c r="C724" s="2">
        <f>+'Base de Datos'!F724</f>
        <v>0</v>
      </c>
      <c r="D724" s="2">
        <f>+'Base de Datos'!G724</f>
        <v>0</v>
      </c>
      <c r="E724" s="2">
        <f>+'Base de Datos'!H724</f>
        <v>0</v>
      </c>
      <c r="F724" s="221">
        <f>+'Base de Datos'!I724</f>
        <v>0</v>
      </c>
      <c r="G724" s="220">
        <f>+'Base de Datos'!M724</f>
        <v>0</v>
      </c>
      <c r="H724" s="220">
        <f>+'Base de Datos'!N724</f>
        <v>0</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idden="1" x14ac:dyDescent="0.25">
      <c r="B725" s="2">
        <f>+'Base de Datos'!E725</f>
        <v>0</v>
      </c>
      <c r="C725" s="2">
        <f>+'Base de Datos'!F725</f>
        <v>0</v>
      </c>
      <c r="D725" s="2">
        <f>+'Base de Datos'!G725</f>
        <v>0</v>
      </c>
      <c r="E725" s="2">
        <f>+'Base de Datos'!H725</f>
        <v>0</v>
      </c>
      <c r="F725" s="221">
        <f>+'Base de Datos'!I725</f>
        <v>0</v>
      </c>
      <c r="G725" s="220">
        <f>+'Base de Datos'!M725</f>
        <v>0</v>
      </c>
      <c r="H725" s="220">
        <f>+'Base de Datos'!N725</f>
        <v>0</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idden="1" x14ac:dyDescent="0.25">
      <c r="B726" s="2">
        <f>+'Base de Datos'!E726</f>
        <v>0</v>
      </c>
      <c r="C726" s="2">
        <f>+'Base de Datos'!F726</f>
        <v>0</v>
      </c>
      <c r="D726" s="2">
        <f>+'Base de Datos'!G726</f>
        <v>0</v>
      </c>
      <c r="E726" s="2">
        <f>+'Base de Datos'!H726</f>
        <v>0</v>
      </c>
      <c r="F726" s="221">
        <f>+'Base de Datos'!I726</f>
        <v>0</v>
      </c>
      <c r="G726" s="220">
        <f>+'Base de Datos'!M726</f>
        <v>0</v>
      </c>
      <c r="H726" s="220">
        <f>+'Base de Datos'!N726</f>
        <v>0</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c r="AC726" s="237"/>
      <c r="AD726" s="237"/>
      <c r="AE726" s="237"/>
      <c r="AF726" s="237"/>
      <c r="AG726" s="237"/>
      <c r="AH726" s="237"/>
      <c r="AI726" s="237"/>
      <c r="AJ726" s="237"/>
      <c r="AK726" s="237"/>
      <c r="AL726" s="237"/>
      <c r="AM726" s="237"/>
      <c r="AN726" s="237"/>
      <c r="AO726" s="237"/>
      <c r="AP726" s="237"/>
      <c r="AQ726" s="237"/>
      <c r="AR726" s="237"/>
      <c r="AS726" s="237"/>
      <c r="AT726" s="361"/>
      <c r="AU726" s="91">
        <f t="shared" si="54"/>
        <v>0</v>
      </c>
    </row>
  </sheetData>
  <sheetProtection autoFilter="0" pivotTables="0"/>
  <autoFilter ref="A6:AW726">
    <filterColumn colId="1">
      <filters>
        <filter val="180212-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31" t="s">
        <v>1256</v>
      </c>
      <c r="B2" s="1131"/>
      <c r="C2" s="1131"/>
      <c r="D2" s="1131"/>
      <c r="E2" s="1131"/>
      <c r="F2" s="1131"/>
      <c r="G2" s="1131"/>
      <c r="H2" s="1131"/>
      <c r="I2" s="1131"/>
      <c r="J2" s="1131"/>
      <c r="K2" s="1131"/>
      <c r="L2" s="1131"/>
      <c r="M2" s="1131"/>
      <c r="N2" s="1131"/>
      <c r="O2" s="1131"/>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31" t="s">
        <v>1459</v>
      </c>
      <c r="B44" s="1131"/>
      <c r="C44" s="1131"/>
      <c r="D44" s="1131"/>
      <c r="E44" s="1131"/>
      <c r="F44" s="1131"/>
      <c r="G44" s="1131"/>
      <c r="H44" s="1131"/>
      <c r="I44" s="1131"/>
      <c r="J44" s="1131"/>
      <c r="K44" s="1131"/>
      <c r="L44" s="1131"/>
      <c r="M44" s="1131"/>
      <c r="N44" s="1131"/>
      <c r="O44" s="1131"/>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31" t="s">
        <v>1460</v>
      </c>
      <c r="B86" s="1131"/>
      <c r="C86" s="1131"/>
      <c r="D86" s="1131"/>
      <c r="E86" s="1131"/>
      <c r="F86" s="1131"/>
      <c r="G86" s="1131"/>
      <c r="H86" s="1131"/>
      <c r="I86" s="1131"/>
      <c r="J86" s="1131"/>
      <c r="K86" s="1131"/>
      <c r="L86" s="1131"/>
      <c r="M86" s="1131"/>
      <c r="N86" s="1131"/>
      <c r="O86" s="1131"/>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31" t="s">
        <v>1461</v>
      </c>
      <c r="B110" s="1131"/>
      <c r="C110" s="1131"/>
      <c r="D110" s="1131"/>
      <c r="E110" s="1131"/>
      <c r="F110" s="1131"/>
      <c r="G110" s="1131"/>
      <c r="H110" s="1131"/>
      <c r="I110" s="1131"/>
      <c r="J110" s="1131"/>
      <c r="K110" s="1131"/>
      <c r="L110" s="1131"/>
      <c r="M110" s="1131"/>
      <c r="N110" s="1131"/>
      <c r="O110" s="1131"/>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NESTOR ARLEY RAMÍREZ RAMÍREZ</cp:lastModifiedBy>
  <cp:lastPrinted>2016-05-27T15:48:10Z</cp:lastPrinted>
  <dcterms:created xsi:type="dcterms:W3CDTF">2014-09-03T04:02:05Z</dcterms:created>
  <dcterms:modified xsi:type="dcterms:W3CDTF">2018-10-10T20:31:14Z</dcterms:modified>
</cp:coreProperties>
</file>