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lanes Institucionales\2020\"/>
    </mc:Choice>
  </mc:AlternateContent>
  <bookViews>
    <workbookView xWindow="0" yWindow="0" windowWidth="24000" windowHeight="10725"/>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3" i="1" l="1"/>
  <c r="AD43" i="1"/>
  <c r="AB43" i="1"/>
  <c r="Z43" i="1"/>
  <c r="X43" i="1"/>
  <c r="V43" i="1"/>
  <c r="T43" i="1"/>
  <c r="AG43" i="1" s="1"/>
  <c r="AF42" i="1"/>
  <c r="AD42" i="1"/>
  <c r="AB42" i="1"/>
  <c r="Z42" i="1"/>
  <c r="X42" i="1"/>
  <c r="V42" i="1"/>
  <c r="T42" i="1"/>
  <c r="AF41" i="1"/>
  <c r="AD41" i="1"/>
  <c r="AB41" i="1"/>
  <c r="Z41" i="1"/>
  <c r="X41" i="1"/>
  <c r="V41" i="1"/>
  <c r="T41" i="1"/>
  <c r="AF40" i="1"/>
  <c r="AD40" i="1"/>
  <c r="AB40" i="1"/>
  <c r="Z40" i="1"/>
  <c r="X40" i="1"/>
  <c r="V40" i="1"/>
  <c r="T40" i="1"/>
  <c r="AL39" i="1"/>
  <c r="AK39" i="1"/>
  <c r="AF39" i="1"/>
  <c r="AD39" i="1"/>
  <c r="AB39" i="1"/>
  <c r="Z39" i="1"/>
  <c r="X39" i="1"/>
  <c r="V39" i="1"/>
  <c r="T39" i="1"/>
  <c r="N39" i="1"/>
  <c r="M39" i="1"/>
  <c r="AG39" i="1" l="1"/>
  <c r="AH39" i="1" s="1"/>
  <c r="AG41" i="1"/>
  <c r="AG40" i="1"/>
  <c r="AG42" i="1"/>
  <c r="AF37" i="1" l="1"/>
  <c r="AD37" i="1"/>
  <c r="AB37" i="1"/>
  <c r="Z37" i="1"/>
  <c r="X37" i="1"/>
  <c r="V37" i="1"/>
  <c r="T37" i="1"/>
  <c r="AF36" i="1"/>
  <c r="AD36" i="1"/>
  <c r="AB36" i="1"/>
  <c r="Z36" i="1"/>
  <c r="X36" i="1"/>
  <c r="V36" i="1"/>
  <c r="T36" i="1"/>
  <c r="AM35" i="1"/>
  <c r="AL35" i="1"/>
  <c r="AF35" i="1"/>
  <c r="AD35" i="1"/>
  <c r="AB35" i="1"/>
  <c r="Z35" i="1"/>
  <c r="X35" i="1"/>
  <c r="V35" i="1"/>
  <c r="T35" i="1"/>
  <c r="N35" i="1"/>
  <c r="M35" i="1"/>
  <c r="AG37" i="1" l="1"/>
  <c r="AG35" i="1"/>
  <c r="AG36" i="1"/>
  <c r="AH35" i="1" l="1"/>
  <c r="AF34" i="1"/>
  <c r="AD34" i="1"/>
  <c r="AB34" i="1"/>
  <c r="Z34" i="1"/>
  <c r="X34" i="1"/>
  <c r="V34" i="1"/>
  <c r="T34" i="1"/>
  <c r="AF33" i="1"/>
  <c r="AD33" i="1"/>
  <c r="AB33" i="1"/>
  <c r="Z33" i="1"/>
  <c r="X33" i="1"/>
  <c r="V33" i="1"/>
  <c r="T33" i="1"/>
  <c r="AF32" i="1"/>
  <c r="AD32" i="1"/>
  <c r="AB32" i="1"/>
  <c r="Z32" i="1"/>
  <c r="X32" i="1"/>
  <c r="V32" i="1"/>
  <c r="T32" i="1"/>
  <c r="AF31" i="1"/>
  <c r="AD31" i="1"/>
  <c r="AB31" i="1"/>
  <c r="Z31" i="1"/>
  <c r="X31" i="1"/>
  <c r="V31" i="1"/>
  <c r="T31" i="1"/>
  <c r="AL30" i="1"/>
  <c r="AK30" i="1"/>
  <c r="AF30" i="1"/>
  <c r="AD30" i="1"/>
  <c r="AB30" i="1"/>
  <c r="Z30" i="1"/>
  <c r="X30" i="1"/>
  <c r="V30" i="1"/>
  <c r="T30" i="1"/>
  <c r="N30" i="1"/>
  <c r="M30" i="1"/>
  <c r="AG30" i="1" l="1"/>
  <c r="AH30" i="1" s="1"/>
  <c r="AL28" i="1"/>
  <c r="AK28" i="1"/>
  <c r="AF28" i="1"/>
  <c r="AD28" i="1"/>
  <c r="AB28" i="1"/>
  <c r="Z28" i="1"/>
  <c r="X28" i="1"/>
  <c r="V28" i="1"/>
  <c r="T28" i="1"/>
  <c r="N28" i="1"/>
  <c r="M28" i="1"/>
  <c r="AF27" i="1"/>
  <c r="AD27" i="1"/>
  <c r="AB27" i="1"/>
  <c r="Z27" i="1"/>
  <c r="X27" i="1"/>
  <c r="V27" i="1"/>
  <c r="T27" i="1"/>
  <c r="AL26" i="1"/>
  <c r="AK26" i="1"/>
  <c r="AF26" i="1"/>
  <c r="AD26" i="1"/>
  <c r="AB26" i="1"/>
  <c r="Z26" i="1"/>
  <c r="X26" i="1"/>
  <c r="V26" i="1"/>
  <c r="T26" i="1"/>
  <c r="N26" i="1"/>
  <c r="M26" i="1"/>
  <c r="AG26" i="1" l="1"/>
  <c r="AH26" i="1" s="1"/>
  <c r="AG27" i="1"/>
  <c r="AG28" i="1"/>
  <c r="AH28" i="1" s="1"/>
  <c r="AM25" i="1"/>
  <c r="AL25" i="1"/>
  <c r="AF25" i="1"/>
  <c r="AD25" i="1"/>
  <c r="AB25" i="1"/>
  <c r="Z25" i="1"/>
  <c r="X25" i="1"/>
  <c r="V25" i="1"/>
  <c r="T25" i="1"/>
  <c r="N25" i="1"/>
  <c r="M25" i="1"/>
  <c r="AI24" i="1"/>
  <c r="AF24" i="1"/>
  <c r="AD24" i="1"/>
  <c r="AB24" i="1"/>
  <c r="Z24" i="1"/>
  <c r="X24" i="1"/>
  <c r="V24" i="1"/>
  <c r="T24" i="1"/>
  <c r="AM23" i="1"/>
  <c r="AL23" i="1"/>
  <c r="AI23" i="1"/>
  <c r="AF23" i="1"/>
  <c r="AD23" i="1"/>
  <c r="AB23" i="1"/>
  <c r="Z23" i="1"/>
  <c r="X23" i="1"/>
  <c r="V23" i="1"/>
  <c r="T23" i="1"/>
  <c r="N23" i="1"/>
  <c r="M23" i="1"/>
  <c r="AG23" i="1" l="1"/>
  <c r="AG24" i="1"/>
  <c r="AG25" i="1"/>
  <c r="AH25" i="1" s="1"/>
  <c r="AI25" i="1" s="1"/>
  <c r="AM22" i="1"/>
  <c r="AL22" i="1"/>
  <c r="AF22" i="1"/>
  <c r="AD22" i="1"/>
  <c r="AB22" i="1"/>
  <c r="Z22" i="1"/>
  <c r="X22" i="1"/>
  <c r="V22" i="1"/>
  <c r="T22" i="1"/>
  <c r="N22" i="1"/>
  <c r="M22" i="1"/>
  <c r="AG22" i="1" l="1"/>
  <c r="AH22" i="1" s="1"/>
  <c r="AI22" i="1" s="1"/>
  <c r="AL21" i="1"/>
  <c r="AK21" i="1"/>
  <c r="AF21" i="1"/>
  <c r="AD21" i="1"/>
  <c r="AB21" i="1"/>
  <c r="Z21" i="1"/>
  <c r="X21" i="1"/>
  <c r="V21" i="1"/>
  <c r="T21" i="1"/>
  <c r="N21" i="1"/>
  <c r="M21" i="1"/>
  <c r="AG21" i="1" l="1"/>
  <c r="AH21" i="1" s="1"/>
  <c r="AM20" i="1"/>
  <c r="AL20" i="1"/>
  <c r="AF20" i="1"/>
  <c r="AD20" i="1"/>
  <c r="AB20" i="1"/>
  <c r="Z20" i="1"/>
  <c r="X20" i="1"/>
  <c r="V20" i="1"/>
  <c r="T20" i="1"/>
  <c r="N20" i="1"/>
  <c r="M20" i="1"/>
  <c r="AG20" i="1" l="1"/>
  <c r="AH20" i="1" s="1"/>
  <c r="AI20" i="1" s="1"/>
  <c r="AL16" i="1"/>
  <c r="AK16" i="1"/>
  <c r="AF16" i="1"/>
  <c r="AD16" i="1"/>
  <c r="AB16" i="1"/>
  <c r="Z16" i="1"/>
  <c r="X16" i="1"/>
  <c r="V16" i="1"/>
  <c r="T16" i="1"/>
  <c r="N16" i="1"/>
  <c r="M16" i="1"/>
  <c r="AG16" i="1" l="1"/>
  <c r="AL14" i="1"/>
  <c r="AK14" i="1"/>
  <c r="AF14" i="1"/>
  <c r="AD14" i="1"/>
  <c r="AB14" i="1"/>
  <c r="Z14" i="1"/>
  <c r="X14" i="1"/>
  <c r="V14" i="1"/>
  <c r="T14" i="1"/>
  <c r="N14" i="1"/>
  <c r="M14" i="1"/>
  <c r="AG14" i="1" l="1"/>
  <c r="AH14" i="1" s="1"/>
  <c r="AL10" i="1"/>
  <c r="AK10" i="1"/>
  <c r="AF10" i="1"/>
  <c r="AD10" i="1"/>
  <c r="AB10" i="1"/>
  <c r="Z10" i="1"/>
  <c r="X10" i="1"/>
  <c r="V10" i="1"/>
  <c r="T10" i="1"/>
  <c r="N10" i="1"/>
  <c r="M10" i="1"/>
  <c r="AG10" i="1" l="1"/>
  <c r="AM9" i="1"/>
  <c r="AL9" i="1"/>
  <c r="AF9" i="1"/>
  <c r="AD9" i="1"/>
  <c r="AB9" i="1"/>
  <c r="Z9" i="1"/>
  <c r="X9" i="1"/>
  <c r="V9" i="1"/>
  <c r="T9" i="1"/>
  <c r="N9" i="1"/>
  <c r="M9" i="1"/>
  <c r="AG9" i="1" l="1"/>
  <c r="AH9" i="1" s="1"/>
  <c r="AI9" i="1" s="1"/>
  <c r="AM8" i="1" l="1"/>
  <c r="AL8" i="1"/>
  <c r="AF8" i="1"/>
  <c r="AD8" i="1"/>
  <c r="AB8" i="1"/>
  <c r="Z8" i="1"/>
  <c r="X8" i="1"/>
  <c r="V8" i="1"/>
  <c r="T8" i="1"/>
  <c r="N8" i="1"/>
  <c r="M8" i="1"/>
  <c r="AG8" i="1" l="1"/>
  <c r="AH8" i="1" s="1"/>
  <c r="AI8" i="1" s="1"/>
</calcChain>
</file>

<file path=xl/comments1.xml><?xml version="1.0" encoding="utf-8"?>
<comments xmlns="http://schemas.openxmlformats.org/spreadsheetml/2006/main">
  <authors>
    <author>Carolina Ramos</author>
    <author>Carmen Catalina Arango Barbaran</author>
  </authors>
  <commentList>
    <comment ref="D6" authorId="0" shapeId="0">
      <text>
        <r>
          <rPr>
            <b/>
            <sz val="9"/>
            <color indexed="81"/>
            <rFont val="Tahoma"/>
            <family val="2"/>
          </rPr>
          <t xml:space="preserve">Definición de los parámetros internos y externos que se han de tomar en consideración para la administración del riesgo (NTC-ISO 31000).
A partir de los factores que se definan es posible establecer las causas de los riesgos a identificar
</t>
        </r>
        <r>
          <rPr>
            <sz val="9"/>
            <color indexed="81"/>
            <rFont val="Tahoma"/>
            <family val="2"/>
          </rPr>
          <t xml:space="preserve">
</t>
        </r>
      </text>
    </comment>
    <comment ref="P6" authorId="1" shapeId="0">
      <text>
        <r>
          <rPr>
            <b/>
            <sz val="9"/>
            <color indexed="81"/>
            <rFont val="Tahoma"/>
            <family val="2"/>
          </rPr>
          <t xml:space="preserve">Determine si el tipo de control de detectivo o preventivo
 </t>
        </r>
      </text>
    </comment>
    <comment ref="AJ6" authorId="1" shapeId="0">
      <text>
        <r>
          <rPr>
            <b/>
            <sz val="9"/>
            <color indexed="81"/>
            <rFont val="Tahoma"/>
            <family val="2"/>
          </rPr>
          <t xml:space="preserve">Analice nuevamente el nivel de probabilidad del riesgo tomando en cuenta los controles descritos. </t>
        </r>
      </text>
    </comment>
    <comment ref="AK6" authorId="1" shapeId="0">
      <text>
        <r>
          <rPr>
            <b/>
            <sz val="9"/>
            <color indexed="81"/>
            <rFont val="Tahoma"/>
            <family val="2"/>
          </rPr>
          <t xml:space="preserve">Analice nuevamente el nivel de consecuencias  del riesgo tomando en cuenta los controles descritos. </t>
        </r>
        <r>
          <rPr>
            <sz val="9"/>
            <color indexed="81"/>
            <rFont val="Tahoma"/>
            <family val="2"/>
          </rPr>
          <t xml:space="preserve">
</t>
        </r>
      </text>
    </comment>
  </commentList>
</comments>
</file>

<file path=xl/sharedStrings.xml><?xml version="1.0" encoding="utf-8"?>
<sst xmlns="http://schemas.openxmlformats.org/spreadsheetml/2006/main" count="486" uniqueCount="241">
  <si>
    <t xml:space="preserve">MAPA DE RIESGOS DE CORRUPCIÒN </t>
  </si>
  <si>
    <t>CONTEXTO ESTRATÉGICO</t>
  </si>
  <si>
    <t>IDENTIFICACIÓN DEL RIESGO</t>
  </si>
  <si>
    <t>CALIFICACIÓN DEL RIESGO INHERENTE</t>
  </si>
  <si>
    <t>VALORACIÓN DEL RIESGO</t>
  </si>
  <si>
    <t xml:space="preserve">ANALISIS DE RIESGO RESIDUAL </t>
  </si>
  <si>
    <t>PLAN DE TRATAMIENTO</t>
  </si>
  <si>
    <t>No. de Riesgo</t>
  </si>
  <si>
    <t>Activo 
(Aplica para los riesgos de Seguridad de la Información)</t>
  </si>
  <si>
    <t xml:space="preserve">Factores </t>
  </si>
  <si>
    <t xml:space="preserve">Debilidad / Amenaza </t>
  </si>
  <si>
    <t>Causas / Vulnerabilidades</t>
  </si>
  <si>
    <t>Riesgo</t>
  </si>
  <si>
    <t>Consecuencia(s)</t>
  </si>
  <si>
    <t xml:space="preserve">Tipo de riesgo </t>
  </si>
  <si>
    <t xml:space="preserve">Probabilidad </t>
  </si>
  <si>
    <t>Impacto</t>
  </si>
  <si>
    <t xml:space="preserve">Riesgo Inherente </t>
  </si>
  <si>
    <t>Descripción del Control</t>
  </si>
  <si>
    <t xml:space="preserve">Tipo de Control </t>
  </si>
  <si>
    <t>El control mitiga la probabilidad</t>
  </si>
  <si>
    <t>El control mitiga el impacto</t>
  </si>
  <si>
    <t xml:space="preserve">Calificación del Control </t>
  </si>
  <si>
    <t xml:space="preserve">Total Calificación del Control </t>
  </si>
  <si>
    <t>Promedio</t>
  </si>
  <si>
    <t xml:space="preserve">Rango de Calificación </t>
  </si>
  <si>
    <t xml:space="preserve">Probabilidad 
Residual </t>
  </si>
  <si>
    <t>Impacto 
Residual</t>
  </si>
  <si>
    <t xml:space="preserve">Riesgo Residual </t>
  </si>
  <si>
    <t xml:space="preserve">Opciones de manejo </t>
  </si>
  <si>
    <t>Actividad</t>
  </si>
  <si>
    <t>Soporte</t>
  </si>
  <si>
    <t>Responsable</t>
  </si>
  <si>
    <t>Tiempo</t>
  </si>
  <si>
    <t>Indicador</t>
  </si>
  <si>
    <t>No de Riesgo</t>
  </si>
  <si>
    <t>Internos</t>
  </si>
  <si>
    <t>Externos</t>
  </si>
  <si>
    <t>¿Existe un responsable asignado a la ejecución del control ?</t>
  </si>
  <si>
    <t>¿El responsable tiene la autoridad y adecuada segregación de funciones en la ejecucion del control?</t>
  </si>
  <si>
    <t>¿ La oportunidad en que se ejecuta el control ayuda a prevenir la mitigación del riesgo o a detectar la materialización del riesgo de manera oportuna?</t>
  </si>
  <si>
    <t>¿Las actividades que se desarrollan en el control realmente buscan por sí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</si>
  <si>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</si>
  <si>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</si>
  <si>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</si>
  <si>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N.A.</t>
  </si>
  <si>
    <t>Procesos</t>
  </si>
  <si>
    <t>Debilidad en los controles e instrumentos de reporte de avance y de seguimiento de los planes de acción institucionales.</t>
  </si>
  <si>
    <t>Manipulación de información de reportes de seguimiento de avances de planes de acción institucional para beneficio individual.</t>
  </si>
  <si>
    <t>*Reducción de los impactos de la gestión de la entidad. 
*Decisiones tomadas con base en información imprecisa. 
*Pérdida de credibilidad por parte de los ciudadanos.</t>
  </si>
  <si>
    <t xml:space="preserve">Corrupción </t>
  </si>
  <si>
    <t xml:space="preserve">Cada lider de proceso establece sus actividades a incluir en los planes de acción institucionales y estos son remitidos a la Oficina Asesora de Planeación para su revisión y aval. Cada lider de proceso reporta trimestralmente los informes de avance de los planes de acción institucional.  La OAP revisa la coherencia del reporte y en caso de encontrar inconsistencias solicita los ajustes a las areas responsables, luego de lo cual consolida el informe de avances del plan de acción y lo presenta al equipo directivo y al Comité Institucional de Gestión y Desempeño, destacando las desviaciones frente a lo programado para que los responsables tomen las medidas de ajuste. El informe de avances del plan de acción se publica en la red interna, la intranet y la pagina web.  </t>
  </si>
  <si>
    <t xml:space="preserve">Preventivo </t>
  </si>
  <si>
    <t>Directamente</t>
  </si>
  <si>
    <t>Asignado</t>
  </si>
  <si>
    <t>Adecuado</t>
  </si>
  <si>
    <t>Oportuna</t>
  </si>
  <si>
    <t>Prevenir</t>
  </si>
  <si>
    <t>Confiable</t>
  </si>
  <si>
    <t>Se investigan y resuelven oportunamente</t>
  </si>
  <si>
    <t>Completa</t>
  </si>
  <si>
    <t>Reducir</t>
  </si>
  <si>
    <t>Socializar ante el Comité Institucional de Gestión y Desempeño el procedimiento de Formulación y Seguimiento del Plan Estratégico y el Plan de Acción Anual.</t>
  </si>
  <si>
    <t>Acta del Comité Institucional de Gestión y Desempeño.</t>
  </si>
  <si>
    <t>Jefe Oficina Asesora de Planeación.</t>
  </si>
  <si>
    <t>30 de junio de 2020</t>
  </si>
  <si>
    <t>Socialización efectuada.</t>
  </si>
  <si>
    <t>PROCESO</t>
  </si>
  <si>
    <t>DIRECCIONAMIENTO ESTRATÈGICO</t>
  </si>
  <si>
    <t>Políticos</t>
  </si>
  <si>
    <t xml:space="preserve">Alta exposición y fàcil acceso a la Corporación de los actores externos. </t>
  </si>
  <si>
    <t>Intención de un tercero de utilizar el prestigio  de la Corporación, a través de la Oficina Asesora de Comunicaciones, para favorecer sus intereses personales.</t>
  </si>
  <si>
    <t>Manejo inadecuado de divulgación de la información, a través de la Corporación, para favorecer a un tercero.</t>
  </si>
  <si>
    <t>Afectación de la imagen  y credibilidad ante la ciudadanía de la labor institucional.
Acciones disciplinarias.</t>
  </si>
  <si>
    <t xml:space="preserve">El Jefe de la Oficina de Comunicaciones con su equipo revisa los contenidos a publicar en los diferentes medios  de la Corporación, en caso de encontrar inconsistencia con la norma se solicita concepto a la Oficina Juridica. </t>
  </si>
  <si>
    <t>Detectar</t>
  </si>
  <si>
    <t>Actualizar la normatividad de la Corporación relacionada con los protocolos para la publicación de contenidos oficiales en pagina web e intranet.</t>
  </si>
  <si>
    <t xml:space="preserve">Documento del sistema de gestión formalizado. </t>
  </si>
  <si>
    <t>Comité institucional de gestión y desempeño , con el apoyo del Equipo técnico de información y  comunicación pública… Resolución 388 de 2019.</t>
  </si>
  <si>
    <t>31-Diciembre 2020</t>
  </si>
  <si>
    <t>Documento oficializado</t>
  </si>
  <si>
    <t>Personal</t>
  </si>
  <si>
    <t>No verificar el registro biométrico de votación para elaborar la certificación.</t>
  </si>
  <si>
    <t>Expedir certificación de votaciones, que no correspondan a las reales, con el fin de favorecer un interés propio o de un tercero,  en eventos no subsanables.</t>
  </si>
  <si>
    <t>Indagación y/o investigación administrativa, fiscal, disciplinaria o penal</t>
  </si>
  <si>
    <t xml:space="preserve">El profesional asignado por parte del secretario general o el subsecretario,  elabora el registro de votación una vez culminada la sesión al dia siguiente,  el secretario y subsecretarios revisan y verifican la información para expedir la certificación y en el caso de encontrar inconsistencias realiza los ajustes respectivos y se expide la certificación. 
</t>
  </si>
  <si>
    <t>No disminuye</t>
  </si>
  <si>
    <t>Evitar</t>
  </si>
  <si>
    <t>Verificar la votacion con el registro suministrado por sistemas y en caso de fallas del sistema, se realizará llamados de conformidad con el reglamento interno vigente</t>
  </si>
  <si>
    <t>Registro de votación expedido por sistemas de cada una de las sesiones o el llamado a lista firmado por el secretario o subsecretario.</t>
  </si>
  <si>
    <t>Secretario General
Subsecretarios de Comisiones permanentes</t>
  </si>
  <si>
    <t>Sesiones ordinarias (Febrero, Mayo, Agosto y Noviembre) y en sesiones extraordinarias</t>
  </si>
  <si>
    <t>Número de registros de votación  expedidos/Número de votaciones realizadas</t>
  </si>
  <si>
    <t>Omisión en el registro de la votación que se lleve a cabo.</t>
  </si>
  <si>
    <t>NO verficar la grabacion de las sesiones  (audio -video)</t>
  </si>
  <si>
    <t>No permitir que se cumpla con los términos de radicación.</t>
  </si>
  <si>
    <t>Intereses particulares para favorecimiento de terceros</t>
  </si>
  <si>
    <t>Omisión de requisitos de ley en los actos administrativos de convocatoria de elección de servidores públicos distritales para favorecimiento de terceros</t>
  </si>
  <si>
    <t>Indagación y/o investigación administrativa, disciplinaria, fiscal o penal.</t>
  </si>
  <si>
    <t>La Mesa Directiva  solicita el  acompañamiento especial del Ministerio Publico Nacional o Distrital.</t>
  </si>
  <si>
    <t>Indirectamente</t>
  </si>
  <si>
    <t>Aplicación de la normatividad vigente aplicable para el caso de elección de servidores públicos.</t>
  </si>
  <si>
    <t>Carpeta supervisión del contrato de prestación del servicio de elección de servidores públicos.</t>
  </si>
  <si>
    <t>Mesa Directiva</t>
  </si>
  <si>
    <t xml:space="preserve">Primer periodo de sesiones ordinarias correspondientes al inicio del periodo constitucional para Personero y Contralor.
Sesiones ordinarias del mes de Febrero de cada vigencia para Secretario General y Subsecretarios de Comisiones </t>
  </si>
  <si>
    <t>Numero de procesos de elección ejecutados conforme a la ley.</t>
  </si>
  <si>
    <t xml:space="preserve">Debilidades en los canales de atención al ciudadano.
</t>
  </si>
  <si>
    <t>Posibilidad de no dar  trato igualitario dentro del proceso de atención al ciudadano con el fin de favorecer a un tercero. (TRANSPARENCIA ACTIVA)</t>
  </si>
  <si>
    <t>*Sanciones disciplinarias'
Perdida de credibilidad con la ciudadania</t>
  </si>
  <si>
    <t xml:space="preserve">La auxiliar de atención al ciudadano registra en el formato AC PR001F05 las personas que requieren atención en orden de llegada, se brinda la atención y orientación inicial  y de alli se traslada al funcionario del area para que ingresen la SDQS verbal o escrita. </t>
  </si>
  <si>
    <t>Detectivo</t>
  </si>
  <si>
    <t>Inoportuna</t>
  </si>
  <si>
    <t>No es un control</t>
  </si>
  <si>
    <t>No confiable</t>
  </si>
  <si>
    <t>No se investigan y resuelven oportunamente</t>
  </si>
  <si>
    <t>Incompleta</t>
  </si>
  <si>
    <t>Implementar el digiturno en la Corporación para garantizar el trato igualitario a las personas que solicitan la atención garantizando los criterios de atención diferencial. (una vez sea contratado or la Secretaría Distrital de Hacienda).</t>
  </si>
  <si>
    <t>Digiturno implementado.</t>
  </si>
  <si>
    <t xml:space="preserve">Dirección Adminsitrativa
Dirección Tecnica Jurídica - Atención al Ciudadano </t>
  </si>
  <si>
    <t>31 diciembre 2020</t>
  </si>
  <si>
    <t>1 digiturno implementado</t>
  </si>
  <si>
    <t xml:space="preserve">Intereses y presiones de actores internos o  externos para favorecer a un particular. </t>
  </si>
  <si>
    <t>Realizar actuaciones administrativas (nombramiento de funcionarios, encargos, reconocimiento de primas tecnicas, sin el lleno de los requisitos legales o reglamentarios para favorecer a un tercero.</t>
  </si>
  <si>
    <t xml:space="preserve">Sanciones Disciplinarias.
Sanciones Fiscales.
Sanciones Penales.
Afectación en la calidad en la prestación del servicio
</t>
  </si>
  <si>
    <t xml:space="preserve">El responsable de proyectar el acto administrativo verifica el cumplimiento de los requisitos establecidos en el procedimiento y en la norma, el documento proyectado es revisado por el asesor y entregado a la Dirección admnistrativa para la revisión, aprobación y certificación  del cumplimiento en los casos en que se requiere. 
En caso de que se encuentre una desviación el punto de control en el que se detecto lo devuelve a donde se origino el documento para su revisión y ajuste. </t>
  </si>
  <si>
    <t xml:space="preserve">Utilizar los formatos estabecidos en el proceso para la totalidad de los actos administrativos que se proyecten. </t>
  </si>
  <si>
    <t>Formatos adoptados en el SIG.</t>
  </si>
  <si>
    <t>Director Administrativo - equipo de talento humano- actos administrativos.</t>
  </si>
  <si>
    <t>31 de Diciembre de 2020.</t>
  </si>
  <si>
    <t>100% de los actos administrativos proyectados con soportes de utilización de formatos del proceso</t>
  </si>
  <si>
    <t>Presión de terceros para incidir en las decisiones de la Dirección Jurídica.</t>
  </si>
  <si>
    <t>Avalar la expedición de actos administrativos y emitir conceptos por fuera del marco legal con el fin de favorecer el interes de un tercero.</t>
  </si>
  <si>
    <t>*Toma decisiones administrativas en contravía del ordenamiento jurídico.
*Posible investigacion penal, disciplinaria y/o fiscal.
* Acciones contencioso administrativas.
*Acción de Repeticion contra el funcionario que decide.
*Afectacion imagen institucional.</t>
  </si>
  <si>
    <t>El profesional asignado al tema revisa el acto administrativo o proyecta el concepto solicitado y lo entrega al Director Jurídico, quien revisa y aprueba. En caso de encontrar alguna inconsistencia el Director Jurídico ordena efectuar el correspondiente ajuste.</t>
  </si>
  <si>
    <t>Actualizar el procedimiento Asesoría Jurídica Interna.</t>
  </si>
  <si>
    <t>Documento aprobado en el SIG.</t>
  </si>
  <si>
    <t>Director Técnico Jurídico</t>
  </si>
  <si>
    <t>Diciembre 2020</t>
  </si>
  <si>
    <t>1 documento aprobado</t>
  </si>
  <si>
    <t>Las personas a las que se les asignan los recuros tienen intención de manera directa o por presión de un tercero interno externo de darles usos diferentes a los estrictamente establecidos por la entidad para su beneficio personal.</t>
  </si>
  <si>
    <t xml:space="preserve">Posibilidad de dar uso indebido a los vehiculos propios asignados a directivos y de apoyo a la gestión de la Corporación por Secretaria de Hacienda en benificio de terceros o particulares. </t>
  </si>
  <si>
    <t xml:space="preserve">Investigaciones disciplinarias
Investigaciones fiscales
Investigaciones penales
Detrimento patrimonial
Perdida de imagen institucional 
</t>
  </si>
  <si>
    <t xml:space="preserve">La mesa directiva asigna mediante resolución, a los directivos y a las dependencias a su cargo  los vehiculos para cubrir las necesidades propias del cargo y de dicha dependecia, con el fin de formalizar las condiciones de la prestación del servicio. Esta resolución se expide cada vez que hay cambio de directivo. 
</t>
  </si>
  <si>
    <t xml:space="preserve">Comunicar y socializar a las partes interesadas el reglamento para la administraciòn, uso y manejo del parque autormotor propio al servicio del Concejo de Bogota. </t>
  </si>
  <si>
    <t xml:space="preserve">Memorandos y actas de reunión de socialización del Reglamento para la administraciòn, uso y manejo del parque autormotor propio al servicio del Concejo de Bogota adoptado. </t>
  </si>
  <si>
    <t xml:space="preserve">Dirección administrativa </t>
  </si>
  <si>
    <t>30 de Diciembre de 2020</t>
  </si>
  <si>
    <t xml:space="preserve">Numero de comunicaciones de socialización del Reglamento entregadas.
Numero de socializaciónes realizadas. </t>
  </si>
  <si>
    <t>Debilidad en los lineamientos, directirices o controles en la utilización de los recursos.</t>
  </si>
  <si>
    <t>Los vehiculos de apoyo misional son administrados por la dirección administrativa, su programación depende de las necesidades del servicio y se programa de acuerdo a los requerimientos recibidos con justificación del solicitante, autorizaciòn dela direcciòn administrativa y reporte del servicip prestado por parte del conductor: No se deja evidencia documental de la programación y del uso, se realiza de manera verbal.  En caso de detectar un uso  diferente del vehiculo se hace el llamado de atenciòn verbal.</t>
  </si>
  <si>
    <t>No existe</t>
  </si>
  <si>
    <t xml:space="preserve">Posibilidad de dar uso indebido a los recursos e insumos de  servicios generales, mantenimiento,   en benificio de terceros o particulares. </t>
  </si>
  <si>
    <t>Las solicitudes para retirar los elementos de la Corporación son revisadas por la Dirección Administrativa cada vez que se solicita el retiro del bien,  con el fin de verificar cual va a ser el uso y el destino del mismo. Posteriomente expide un correo u oficio de autorización que debe ser presentado a la empresa de vigilancia para retirar el bien de las instalaciones de la Corporación. La novedad del retiro del bien es registrada en la minuta de la vigilancia  En caso de que se intente retirar un bien sin la autorización correspondiente la empresa de vigilancia informa al apoyo a la supervisión del contrato y no permite el retiro del bien.</t>
  </si>
  <si>
    <t>Elaborar un protocolo para el traslado de bienes a cargo de la Corporación y/o de bienes propios de los Concejales.</t>
  </si>
  <si>
    <t>Protocolo adoptado en el SIG.</t>
  </si>
  <si>
    <t>1 protocolo adoptado</t>
  </si>
  <si>
    <t>Tecnología</t>
  </si>
  <si>
    <t>Sistemas de Información susceptibles de manipulación o adulteración por personas no autorizadas.</t>
  </si>
  <si>
    <t>Acceso indebido, hurto, manipulación o adulteración de la información para beneficio propio o de un tercero.</t>
  </si>
  <si>
    <t>Perdida de la información 
Perdida de la imagen y reputación.
Sanciones disciplinarias.
Sanciones penales.
Sanciones fiscales</t>
  </si>
  <si>
    <t>Elaboración de copias de respaldo de la información por parte del profesional asignado del proceso de Sistemas y Seguridad de la Información, en los tiempos establecidos en el procedimiento. En caso de que no se realice la copia de forma automática se efectuará de forma manual.</t>
  </si>
  <si>
    <t>Sensibilización o divulgación de lo establecido en el Manual de políticas de seguridad de la información.</t>
  </si>
  <si>
    <t>Evidencias de las actividades realizadas (Correos con las divulgaciones, fotos y registros de asistencias, entre otras)</t>
  </si>
  <si>
    <t>Dirección administrativa - Proceso de Sistemas y Seguridad de la Información</t>
  </si>
  <si>
    <t>Número de actividades de sensibilización o divulgación realizadas</t>
  </si>
  <si>
    <t>Falta de definición e implementación de controles para el acceso a la información.</t>
  </si>
  <si>
    <t>Cada servidor público del Concejo de Bogotá da cumplimiento del Manual de Políticas de seguridad de la información de forma permanente. En caso de no dar cumplimiento se llevan a cabo las acciones disciplinarias a que se dé lugar.</t>
  </si>
  <si>
    <t xml:space="preserve">Acceso indebido a los sistemas </t>
  </si>
  <si>
    <t>Obstaculización de un sistema informático del Concejo de Bogotá para beneficio propio o de un tercero</t>
  </si>
  <si>
    <t>Perdida de la imagen y reputación.
Sanciones disciplinarias.
Sanciones penales.
Sanciones fiscales</t>
  </si>
  <si>
    <t>El responsable del sistema garantiza de forma permanente que los sistemas estén actualizados a la versión mas estable del fabricante o proveedor. En caso de no poder actualizar los sistemas se aplican controles alternos.</t>
  </si>
  <si>
    <t>Realizar monitoreo de los sistemas de información.</t>
  </si>
  <si>
    <t>Reporte generado por la plataforma de monitoreo</t>
  </si>
  <si>
    <t>Número de incidentes presentados</t>
  </si>
  <si>
    <t>Tecnológicos</t>
  </si>
  <si>
    <t>Vulnerabilidades de las plataformas de los sistemas informáticos</t>
  </si>
  <si>
    <t>N/A</t>
  </si>
  <si>
    <t xml:space="preserve">Inadecuado control en el  préstamo de los  documentos del Archivo </t>
  </si>
  <si>
    <t>Mutilación,  hurto, robo o pérdida de folios o de expedientes con el fin de favorecer intereses personales.</t>
  </si>
  <si>
    <t>Demandas 
Procesos disciplinarios (dependiendo del tipo de documento)</t>
  </si>
  <si>
    <t>El auxiliar administrativo facilita la información que se requiere para consulta. Para esto diligencia el formato de solicitud de consulta y/o préstamo de documentos cada vez que se presente una solicitud.</t>
  </si>
  <si>
    <t>Socializar el procedimiento y el formato de consulta y prestamo de archivos a todas las dependencias de la Corporación.</t>
  </si>
  <si>
    <t>Listados de asistencia / Documento con la presentación</t>
  </si>
  <si>
    <t>Hernán Rodríguez</t>
  </si>
  <si>
    <t>Diciembre de 2020</t>
  </si>
  <si>
    <t>Socializaciones realizadas</t>
  </si>
  <si>
    <t>Falta de espacios que aseguren el archivo y custodia de las unidades documentales cuando se encuentran en trámite (archivos de gestión)</t>
  </si>
  <si>
    <t>Ausencia de un inventario documental</t>
  </si>
  <si>
    <t>Incumplimiento a los procedimientos y lineamientos  establecidos en la Corporación</t>
  </si>
  <si>
    <t xml:space="preserve">Poco personal que apoye la supervisión de contratos y desconocimiento de la Guía de Supervisión. </t>
  </si>
  <si>
    <t>Concentrar las labores de supervisiòn en poco personal.</t>
  </si>
  <si>
    <t>Inobservancia de las obligaciones del Supervisor,  que genere el incumplimiento Contractual, en beneficio propio o de un tercero.</t>
  </si>
  <si>
    <t>Incumplimiento del objeto contractual por parte del contratista.</t>
  </si>
  <si>
    <t>3.1. Una vez perfeccionado el contrato y remitido por la Subdirecciòn de Asuntos Contractuales - SDH, el responsable del procedimiento de Fondo Cuenta proyecta memorando al funcionario asignado como Supervisor del Contrato, informandole la desingaciòn en la supervisiòn y su responsabilidades; por correo electronico se adjunta el link del Manual de Contrataciòn y la Guia de Supervisor de Contrato.</t>
  </si>
  <si>
    <t xml:space="preserve">Realizar reuniones cuatrimestrales con los Supervisores de Contrato y los Apoyos a la Supervisión, para evidenciar las observaciones en el ejercicio de la supervisión y formular las acciones que correspondan. </t>
  </si>
  <si>
    <t xml:space="preserve">Acta de Reunión </t>
  </si>
  <si>
    <t>Director Financiero y Fondo Cuenta del Concejo</t>
  </si>
  <si>
    <t>cuatrimestral</t>
  </si>
  <si>
    <t>No. Reuniones Realizadas /  Nro. Reuniones programadas en la vigencia</t>
  </si>
  <si>
    <t xml:space="preserve">Falta de comunicación entre la SHD y la Corporaciòn, que genera devoluación de documentaciòn y retrasos en el desarrollo del proceso contractual </t>
  </si>
  <si>
    <t>Dificultad en la Coordinación entre las dos entidades</t>
  </si>
  <si>
    <t>Servicios prestados no son acordes a la necesidades que se pretendian satisfacer.</t>
  </si>
  <si>
    <t>3.2. Recibida la cuenta de cobro por parte de los contratistas, los apoyos a la supervisiòn de los contratos proceden a verificar la documentaciòn y soportes aportados (Ej: Pago seguridad social, Informe de Supervisiòn Periodica, Facturas si aplica, Informe de Ejecuciòn Mensual, entre otros), siendo correcto se procede a dar visto bueno en la Ficha de Ejecuciòn Financiera y se procede a elaborar oficio remisiorio a la SDH. En caso de evidenciar observaciones se devuelve al supervisor para los correspondientes ajustes.</t>
  </si>
  <si>
    <t xml:space="preserve">Capacitar a los  Supervisores de Contrato y Apoyos a la Supervisión con el proposito de orientar en la correcta presentación de la documentación y los aplicativos correspondientes. </t>
  </si>
  <si>
    <t>Registro de Asistencia</t>
  </si>
  <si>
    <t xml:space="preserve">Anual </t>
  </si>
  <si>
    <t>No. Capacitaciones Realizadas (01)</t>
  </si>
  <si>
    <t>Tecnologia</t>
  </si>
  <si>
    <t xml:space="preserve">Falta de implementación adecuada para la alimentación en el SECOP II,  de la  informaciòn a cargo del Concejo </t>
  </si>
  <si>
    <t>No se cuenta con usuarios, ni capacitaciòn suficiente en SECOP II</t>
  </si>
  <si>
    <t>Demora en los pagos a los contratistas.</t>
  </si>
  <si>
    <t>3.3. Recibido el Informe final de la ejecuciòn del contrato por parte del Supervisor, los apoyos a la supervisiòn de los contratos proceden a verificar la documentaciòn y soportes aportados (Ej: Pago seguridad social, Informe de Supervisiòn Periodica, Facturas si aplica, Informe de Ejecuciòn Mensual y Final, entre otros), siendo correcto se procede a elaborar oficio remisiorio a la SDH. En caso de evidenciar observaciones se devuelve al supervisor para los correspondientes ajustes.</t>
  </si>
  <si>
    <t xml:space="preserve">Socializar a los supervisores ya apoyos a la supervisión los instructivos y formatos   del procedimiento de fondo cuenta. </t>
  </si>
  <si>
    <t>Instructivo GN-IN-03 actualizado</t>
  </si>
  <si>
    <t>31/12/2020</t>
  </si>
  <si>
    <t xml:space="preserve">Nro. De actividades de socialización realizadas. </t>
  </si>
  <si>
    <t>Generar detrimento patrimonial por el pago sin la verificaciòn de la prestaciòn de servicio o la entrega de bienes contratados.</t>
  </si>
  <si>
    <t>Legales y reglamentarios</t>
  </si>
  <si>
    <t>Presión a los profesionales  para presentar la información de manera  sesgada</t>
  </si>
  <si>
    <t xml:space="preserve">No declararse impedido con la debida oportunidad </t>
  </si>
  <si>
    <t>Conflicto de intereses</t>
  </si>
  <si>
    <t>Ocultamiento de situaciones que ameriten el inicio de procesos disciplinarios, fiscales, penales, entre otros.</t>
  </si>
  <si>
    <t xml:space="preserve">En cada vigencia el (los) servidor (es) públicos de la Oficina de Control Interno que actúe (n) como auditor (es), independientemente de su tipo de vinculación, deberá suscribir acuerdo de confidencialidad,  no divulgación de información e integridad, previo al inicio de la ejecución del Programa Anual de Auditoría, así mismo los auditores externos a la Oficina deberán suscribirlo para cada ejercicio de auditoría en el que participen. Formato (EVI-FO-001). Politica de operacion 4.6. </t>
  </si>
  <si>
    <t>Transferir</t>
  </si>
  <si>
    <t>Dar traslado a la autoridad competente</t>
  </si>
  <si>
    <t>Oficio o Memorando remisorio</t>
  </si>
  <si>
    <t>Lider del Proceso</t>
  </si>
  <si>
    <t>Inmediato</t>
  </si>
  <si>
    <t>memorando u oficio remitido</t>
  </si>
  <si>
    <t>COMUNICACIONES E INFORMACIÒN</t>
  </si>
  <si>
    <t>GESTIÒN NORMATIVA</t>
  </si>
  <si>
    <t>ELECCIÒN DE SERVIDORES PÙBLICOS</t>
  </si>
  <si>
    <t>CONTROL POLÌTICO</t>
  </si>
  <si>
    <t>ATENCIÒN AL CIUDADANO</t>
  </si>
  <si>
    <t>TALENTO HUMANO</t>
  </si>
  <si>
    <t>GESTIÒN JURÌDICA</t>
  </si>
  <si>
    <t>GESTIÒN DE RECURSOS FÌSICOS</t>
  </si>
  <si>
    <t>SISTEMAS Y SEGURIDAD DE LA INFORMACIÒN</t>
  </si>
  <si>
    <t>GESTIÒN DOCUMENTAL</t>
  </si>
  <si>
    <t>GESTIÒN FINANCIERA</t>
  </si>
  <si>
    <t>EVALUACIÒN INDEPENDIENTE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</si>
</sst>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6" x14ac:knownFonts="1">
    <font>
      <sz val="11"/>
      <color theme="1"/>
      <name val="Calibri"/>
      <family val="2"/>
      <scheme val="minor"/>
    </font>
    <font>
      <sz val="11"/>
      <color theme="1"/>
      <name val="Arial"/>
      <family val="2"/>
    </font>
    <font>
      <b/>
      <sz val="11"/>
      <color theme="1"/>
      <name val="Arial"/>
      <family val="2"/>
    </font>
    <font>
      <sz val="9"/>
      <color theme="1"/>
      <name val="Arial"/>
      <family val="2"/>
    </font>
    <font>
      <sz val="9"/>
      <name val="Arial"/>
      <family val="2"/>
    </font>
    <font>
      <sz val="8"/>
      <name val="Arial"/>
      <family val="2"/>
    </font>
    <font>
      <b/>
      <sz val="9"/>
      <color indexed="81"/>
      <name val="Tahoma"/>
      <family val="2"/>
    </font>
    <font>
      <sz val="9"/>
      <color indexed="81"/>
      <name val="Tahoma"/>
      <family val="2"/>
    </font>
    <font>
      <sz val="11"/>
      <color theme="1"/>
      <name val="Calibri"/>
      <family val="2"/>
      <scheme val="minor"/>
    </font>
    <font>
      <sz val="11"/>
      <name val="Arial"/>
      <family val="2"/>
    </font>
    <font>
      <sz val="8"/>
      <color theme="1"/>
      <name val="Arial"/>
      <family val="2"/>
    </font>
    <font>
      <b/>
      <sz val="8"/>
      <color theme="1"/>
      <name val="Arial"/>
      <family val="2"/>
    </font>
    <font>
      <sz val="9"/>
      <color theme="1"/>
      <name val="Arial Narrow"/>
      <family val="2"/>
    </font>
    <font>
      <sz val="9"/>
      <name val="Arial Narrow"/>
      <family val="2"/>
    </font>
    <font>
      <b/>
      <sz val="9"/>
      <color theme="1"/>
      <name val="Arial Narrow"/>
      <family val="2"/>
    </font>
    <font>
      <sz val="28"/>
      <color theme="1"/>
      <name val="Calibri"/>
      <family val="2"/>
      <scheme val="minor"/>
    </font>
  </fonts>
  <fills count="11">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8" fillId="0" borderId="0" applyFont="0" applyFill="0" applyBorder="0" applyAlignment="0" applyProtection="0"/>
  </cellStyleXfs>
  <cellXfs count="188">
    <xf numFmtId="0" fontId="0" fillId="0" borderId="0" xfId="0"/>
    <xf numFmtId="0" fontId="1" fillId="0" borderId="0" xfId="0" applyFont="1" applyAlignment="1">
      <alignment vertical="center"/>
    </xf>
    <xf numFmtId="0" fontId="2" fillId="5" borderId="2" xfId="0" applyFont="1" applyFill="1" applyBorder="1" applyAlignment="1">
      <alignment horizontal="center" vertical="center" wrapText="1"/>
    </xf>
    <xf numFmtId="0" fontId="2" fillId="0" borderId="0" xfId="0" applyFont="1" applyFill="1" applyAlignment="1">
      <alignment vertical="center" wrapText="1"/>
    </xf>
    <xf numFmtId="0" fontId="2" fillId="8" borderId="4" xfId="0" applyFont="1" applyFill="1" applyBorder="1" applyAlignment="1">
      <alignment horizontal="center" vertical="center" wrapText="1"/>
    </xf>
    <xf numFmtId="0" fontId="1" fillId="0" borderId="4" xfId="0" applyFont="1" applyBorder="1" applyAlignment="1">
      <alignment vertical="center"/>
    </xf>
    <xf numFmtId="0" fontId="3"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4" xfId="0" applyFont="1" applyFill="1" applyBorder="1" applyAlignment="1">
      <alignment vertical="center"/>
    </xf>
    <xf numFmtId="0" fontId="2" fillId="6" borderId="4" xfId="0" applyFont="1" applyFill="1" applyBorder="1" applyAlignment="1">
      <alignment vertical="center"/>
    </xf>
    <xf numFmtId="0" fontId="2" fillId="0" borderId="4" xfId="0" applyFont="1" applyFill="1" applyBorder="1" applyAlignment="1" applyProtection="1">
      <alignment vertical="center"/>
    </xf>
    <xf numFmtId="0" fontId="5" fillId="0" borderId="4" xfId="0" quotePrefix="1" applyFont="1" applyBorder="1" applyAlignment="1" applyProtection="1">
      <alignment horizontal="justify" vertical="center" wrapText="1"/>
      <protection locked="0"/>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10" borderId="4" xfId="0" applyFont="1" applyFill="1" applyBorder="1" applyAlignment="1">
      <alignment vertical="center" wrapText="1"/>
    </xf>
    <xf numFmtId="0" fontId="1" fillId="10" borderId="4" xfId="0" applyFont="1" applyFill="1" applyBorder="1" applyAlignment="1">
      <alignment horizontal="center" vertical="center" wrapText="1"/>
    </xf>
    <xf numFmtId="0" fontId="2" fillId="0" borderId="4" xfId="0" applyFont="1" applyBorder="1" applyAlignment="1">
      <alignment horizontal="center" vertical="center"/>
    </xf>
    <xf numFmtId="0" fontId="1" fillId="0" borderId="4" xfId="0" applyFont="1" applyFill="1" applyBorder="1" applyAlignment="1" applyProtection="1">
      <alignment vertical="center"/>
    </xf>
    <xf numFmtId="0" fontId="1" fillId="0" borderId="4" xfId="0" applyFont="1" applyBorder="1" applyAlignment="1">
      <alignment vertical="center" wrapText="1"/>
    </xf>
    <xf numFmtId="49" fontId="1" fillId="0" borderId="4" xfId="0" applyNumberFormat="1" applyFont="1" applyBorder="1" applyAlignment="1">
      <alignment vertical="center" wrapText="1"/>
    </xf>
    <xf numFmtId="0" fontId="1" fillId="0" borderId="4" xfId="0" applyFont="1" applyFill="1" applyBorder="1" applyAlignment="1">
      <alignment horizontal="center" vertical="center"/>
    </xf>
    <xf numFmtId="0" fontId="2" fillId="0" borderId="5" xfId="0" applyFont="1" applyBorder="1" applyAlignment="1">
      <alignment horizontal="center" vertical="center"/>
    </xf>
    <xf numFmtId="0" fontId="1" fillId="0" borderId="4" xfId="0" applyFont="1" applyFill="1" applyBorder="1" applyAlignment="1" applyProtection="1">
      <alignment horizontal="center" vertical="center"/>
    </xf>
    <xf numFmtId="0" fontId="5" fillId="10" borderId="4" xfId="0" applyFont="1" applyFill="1" applyBorder="1" applyAlignment="1">
      <alignment vertical="center" wrapText="1"/>
    </xf>
    <xf numFmtId="0" fontId="10" fillId="0" borderId="4" xfId="0" applyFont="1" applyBorder="1" applyAlignment="1">
      <alignment horizontal="center" vertical="center" wrapText="1"/>
    </xf>
    <xf numFmtId="0" fontId="5" fillId="0" borderId="4" xfId="0" applyFont="1" applyBorder="1" applyAlignment="1" applyProtection="1">
      <alignment horizontal="justify" vertical="center" wrapText="1" shrinkToFit="1"/>
      <protection locked="0"/>
    </xf>
    <xf numFmtId="0" fontId="2" fillId="0" borderId="0" xfId="0" applyFont="1" applyAlignment="1">
      <alignment vertical="center"/>
    </xf>
    <xf numFmtId="0" fontId="10" fillId="10" borderId="4" xfId="0" applyFont="1" applyFill="1" applyBorder="1" applyAlignment="1">
      <alignment horizontal="justify" vertical="center" wrapText="1"/>
    </xf>
    <xf numFmtId="0" fontId="10" fillId="10" borderId="4" xfId="0" applyFont="1" applyFill="1" applyBorder="1" applyAlignment="1">
      <alignment vertical="center" wrapText="1"/>
    </xf>
    <xf numFmtId="0" fontId="10" fillId="0" borderId="4" xfId="0" applyFont="1" applyBorder="1" applyAlignment="1">
      <alignment horizontal="justify" vertical="center" wrapText="1"/>
    </xf>
    <xf numFmtId="0" fontId="5" fillId="10" borderId="4" xfId="0" applyFont="1" applyFill="1" applyBorder="1" applyAlignment="1">
      <alignment horizontal="justify" vertical="center" wrapText="1"/>
    </xf>
    <xf numFmtId="0" fontId="10" fillId="0" borderId="4" xfId="0" quotePrefix="1" applyFont="1" applyBorder="1" applyAlignment="1">
      <alignment horizontal="center" vertical="center" wrapText="1"/>
    </xf>
    <xf numFmtId="0" fontId="9" fillId="10" borderId="4" xfId="0" applyFont="1" applyFill="1" applyBorder="1" applyAlignment="1">
      <alignment vertical="center" wrapText="1"/>
    </xf>
    <xf numFmtId="0" fontId="5" fillId="0" borderId="6" xfId="0" quotePrefix="1" applyFont="1" applyBorder="1" applyAlignment="1" applyProtection="1">
      <alignment horizontal="justify" vertical="center" wrapText="1" shrinkToFit="1"/>
      <protection locked="0"/>
    </xf>
    <xf numFmtId="0" fontId="5" fillId="0" borderId="6" xfId="0" quotePrefix="1" applyFont="1" applyFill="1" applyBorder="1" applyAlignment="1" applyProtection="1">
      <alignment horizontal="justify" vertical="center" wrapText="1" shrinkToFit="1"/>
      <protection locked="0"/>
    </xf>
    <xf numFmtId="0" fontId="12" fillId="0" borderId="4" xfId="0" applyFont="1" applyBorder="1" applyAlignment="1">
      <alignment horizontal="center" vertical="center"/>
    </xf>
    <xf numFmtId="0" fontId="12" fillId="0" borderId="4" xfId="0" applyFont="1" applyBorder="1"/>
    <xf numFmtId="0" fontId="12" fillId="0" borderId="4" xfId="0" applyFont="1" applyBorder="1" applyAlignment="1">
      <alignment horizontal="center" vertical="center" wrapText="1"/>
    </xf>
    <xf numFmtId="0" fontId="13" fillId="10" borderId="4" xfId="0" applyFont="1" applyFill="1" applyBorder="1" applyAlignment="1" applyProtection="1">
      <alignment horizontal="justify" vertical="center"/>
      <protection locked="0"/>
    </xf>
    <xf numFmtId="0" fontId="13" fillId="0" borderId="4" xfId="0" applyFont="1" applyBorder="1" applyAlignment="1" applyProtection="1">
      <alignment horizontal="justify" vertical="center"/>
      <protection locked="0"/>
    </xf>
    <xf numFmtId="0" fontId="13" fillId="0" borderId="4" xfId="0" applyFont="1" applyBorder="1" applyAlignment="1" applyProtection="1">
      <alignment horizontal="justify" vertical="center" wrapText="1"/>
      <protection locked="0"/>
    </xf>
    <xf numFmtId="0" fontId="12" fillId="0" borderId="4" xfId="0" applyFont="1" applyFill="1" applyBorder="1" applyAlignment="1">
      <alignment vertical="center" wrapText="1"/>
    </xf>
    <xf numFmtId="0" fontId="12" fillId="0" borderId="4" xfId="0" applyFont="1" applyFill="1" applyBorder="1" applyAlignment="1">
      <alignment vertical="center"/>
    </xf>
    <xf numFmtId="0" fontId="12" fillId="0" borderId="4" xfId="0" applyFont="1" applyBorder="1" applyAlignment="1">
      <alignment vertical="center"/>
    </xf>
    <xf numFmtId="0" fontId="14" fillId="6" borderId="4" xfId="0" applyFont="1" applyFill="1" applyBorder="1" applyAlignment="1">
      <alignment vertical="center"/>
    </xf>
    <xf numFmtId="0" fontId="14" fillId="0" borderId="4" xfId="0" applyFont="1" applyFill="1" applyBorder="1" applyAlignment="1" applyProtection="1">
      <alignment vertical="center"/>
    </xf>
    <xf numFmtId="0" fontId="12" fillId="10" borderId="4" xfId="0" applyFont="1" applyFill="1" applyBorder="1" applyAlignment="1">
      <alignment vertical="center" wrapText="1"/>
    </xf>
    <xf numFmtId="0" fontId="12" fillId="10" borderId="4" xfId="0" applyFont="1" applyFill="1" applyBorder="1" applyAlignment="1">
      <alignment horizontal="center" vertical="center" wrapText="1"/>
    </xf>
    <xf numFmtId="0" fontId="12" fillId="0" borderId="4" xfId="0" applyFont="1" applyFill="1" applyBorder="1" applyAlignment="1" applyProtection="1">
      <alignment vertical="center"/>
    </xf>
    <xf numFmtId="0" fontId="12" fillId="0" borderId="4" xfId="0" applyFont="1" applyBorder="1" applyAlignment="1">
      <alignment vertical="center" wrapText="1"/>
    </xf>
    <xf numFmtId="49" fontId="12" fillId="0" borderId="4" xfId="0" applyNumberFormat="1" applyFont="1" applyBorder="1" applyAlignment="1">
      <alignment vertical="center" wrapText="1"/>
    </xf>
    <xf numFmtId="0" fontId="9" fillId="10" borderId="5" xfId="0" applyFont="1" applyFill="1" applyBorder="1" applyAlignment="1">
      <alignment vertical="center" wrapText="1"/>
    </xf>
    <xf numFmtId="0" fontId="1" fillId="0" borderId="4" xfId="0" applyFont="1" applyBorder="1" applyAlignment="1">
      <alignment horizontal="justify" vertical="center" wrapText="1"/>
    </xf>
    <xf numFmtId="0" fontId="9" fillId="0" borderId="3" xfId="0" applyFont="1" applyBorder="1" applyAlignment="1" applyProtection="1">
      <alignment horizontal="justify" vertical="center"/>
      <protection locked="0"/>
    </xf>
    <xf numFmtId="0" fontId="9" fillId="0" borderId="4" xfId="0" applyFont="1" applyBorder="1" applyAlignment="1" applyProtection="1">
      <alignment horizontal="justify" vertical="center"/>
      <protection locked="0"/>
    </xf>
    <xf numFmtId="0" fontId="9" fillId="0" borderId="4" xfId="0" applyFont="1" applyBorder="1" applyAlignment="1" applyProtection="1">
      <alignment horizontal="justify" vertical="center" wrapText="1"/>
      <protection locked="0"/>
    </xf>
    <xf numFmtId="0" fontId="1" fillId="0" borderId="4" xfId="0" applyFont="1" applyFill="1" applyBorder="1" applyAlignment="1">
      <alignment horizontal="justify" vertical="center" wrapText="1"/>
    </xf>
    <xf numFmtId="0" fontId="5" fillId="0" borderId="4" xfId="0" quotePrefix="1" applyFont="1" applyFill="1" applyBorder="1" applyAlignment="1" applyProtection="1">
      <alignment horizontal="justify" vertical="center" wrapText="1"/>
      <protection locked="0"/>
    </xf>
    <xf numFmtId="0" fontId="5" fillId="0" borderId="6" xfId="0" applyFont="1" applyFill="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protection locked="0"/>
    </xf>
    <xf numFmtId="0" fontId="5" fillId="0" borderId="6" xfId="0" quotePrefix="1" applyFont="1" applyFill="1" applyBorder="1" applyAlignment="1" applyProtection="1">
      <alignment horizontal="justify" vertical="center" wrapText="1"/>
      <protection locked="0"/>
    </xf>
    <xf numFmtId="0" fontId="5" fillId="0" borderId="4" xfId="0" quotePrefix="1" applyFont="1" applyFill="1" applyBorder="1" applyAlignment="1" applyProtection="1">
      <alignment horizontal="center" vertical="center" wrapText="1" shrinkToFit="1"/>
      <protection locked="0"/>
    </xf>
    <xf numFmtId="0" fontId="1" fillId="10" borderId="4" xfId="0" applyFont="1" applyFill="1" applyBorder="1" applyAlignment="1">
      <alignment horizontal="justify" vertical="center" wrapText="1"/>
    </xf>
    <xf numFmtId="0" fontId="12" fillId="0" borderId="5" xfId="0" applyFont="1" applyBorder="1" applyAlignment="1">
      <alignment horizontal="center" vertical="center"/>
    </xf>
    <xf numFmtId="2" fontId="1" fillId="0" borderId="4" xfId="0" applyNumberFormat="1" applyFont="1" applyFill="1" applyBorder="1" applyAlignment="1">
      <alignment horizontal="justify" vertical="center" wrapText="1"/>
    </xf>
    <xf numFmtId="49" fontId="1" fillId="0" borderId="4" xfId="0" applyNumberFormat="1" applyFont="1" applyFill="1" applyBorder="1" applyAlignment="1">
      <alignment vertical="center" wrapText="1"/>
    </xf>
    <xf numFmtId="0" fontId="1" fillId="0" borderId="1" xfId="0" applyFont="1" applyBorder="1" applyAlignment="1">
      <alignment vertical="center"/>
    </xf>
    <xf numFmtId="0" fontId="1" fillId="0" borderId="3"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xf>
    <xf numFmtId="0" fontId="15" fillId="0" borderId="0" xfId="0" applyFont="1" applyAlignment="1">
      <alignment horizontal="center"/>
    </xf>
    <xf numFmtId="0" fontId="1" fillId="0" borderId="4"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6" borderId="4" xfId="0" applyFont="1" applyFill="1" applyBorder="1" applyAlignment="1">
      <alignment horizontal="center" vertical="center"/>
    </xf>
    <xf numFmtId="0" fontId="2" fillId="0" borderId="4" xfId="0" applyFont="1" applyFill="1" applyBorder="1" applyAlignment="1" applyProtection="1">
      <alignment horizontal="center" vertical="center"/>
    </xf>
    <xf numFmtId="0" fontId="1" fillId="10" borderId="4" xfId="0" applyFont="1" applyFill="1" applyBorder="1" applyAlignment="1">
      <alignment horizontal="center" vertical="center" wrapText="1"/>
    </xf>
    <xf numFmtId="0" fontId="1" fillId="0" borderId="4" xfId="0" applyFont="1" applyBorder="1" applyAlignment="1">
      <alignment horizontal="justify"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1" fillId="10" borderId="4" xfId="0" applyFont="1" applyFill="1" applyBorder="1" applyAlignment="1">
      <alignment horizontal="justify" vertical="center" wrapText="1"/>
    </xf>
    <xf numFmtId="0" fontId="9" fillId="10" borderId="4"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4" xfId="0" applyFont="1" applyBorder="1" applyAlignment="1">
      <alignment horizontal="center" vertical="center"/>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6" xfId="0" applyFont="1" applyFill="1" applyBorder="1" applyAlignment="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10" borderId="7" xfId="0" applyFont="1" applyFill="1" applyBorder="1" applyAlignment="1">
      <alignment horizontal="center" vertical="center" wrapText="1"/>
    </xf>
    <xf numFmtId="43" fontId="2" fillId="0" borderId="5" xfId="1" applyFont="1" applyFill="1" applyBorder="1" applyAlignment="1" applyProtection="1">
      <alignment horizontal="center" vertical="center"/>
    </xf>
    <xf numFmtId="43" fontId="2" fillId="0" borderId="7" xfId="1" applyFont="1" applyFill="1" applyBorder="1" applyAlignment="1" applyProtection="1">
      <alignment horizontal="center" vertical="center"/>
    </xf>
    <xf numFmtId="43" fontId="2" fillId="0" borderId="6" xfId="1" applyFont="1" applyFill="1" applyBorder="1" applyAlignment="1" applyProtection="1">
      <alignment horizontal="center" vertical="center"/>
    </xf>
    <xf numFmtId="1" fontId="1" fillId="0" borderId="5"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 fillId="10" borderId="5"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0" borderId="6" xfId="0" applyFont="1" applyBorder="1" applyAlignment="1">
      <alignment horizontal="center" vertical="center" wrapText="1"/>
    </xf>
    <xf numFmtId="0" fontId="13" fillId="1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17" fontId="1" fillId="0" borderId="4" xfId="0" quotePrefix="1" applyNumberFormat="1" applyFont="1" applyBorder="1" applyAlignment="1">
      <alignment horizontal="center" vertical="center"/>
    </xf>
    <xf numFmtId="0" fontId="1" fillId="0" borderId="4" xfId="0" applyNumberFormat="1" applyFont="1" applyBorder="1" applyAlignment="1">
      <alignment horizontal="center" vertical="center"/>
    </xf>
    <xf numFmtId="0" fontId="9" fillId="10" borderId="4"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49" fontId="1" fillId="0" borderId="5"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0" fontId="12" fillId="0" borderId="6" xfId="0" applyFont="1" applyBorder="1" applyAlignment="1">
      <alignment horizontal="center" vertical="center"/>
    </xf>
    <xf numFmtId="0" fontId="10" fillId="0" borderId="4" xfId="0" applyFont="1" applyBorder="1" applyAlignment="1">
      <alignment horizontal="center" vertical="center" wrapText="1"/>
    </xf>
    <xf numFmtId="0" fontId="5" fillId="0" borderId="5" xfId="0" quotePrefix="1" applyFont="1" applyFill="1" applyBorder="1" applyAlignment="1" applyProtection="1">
      <alignment horizontal="center" vertical="center" wrapText="1" shrinkToFit="1"/>
      <protection locked="0"/>
    </xf>
    <xf numFmtId="0" fontId="5" fillId="0" borderId="6" xfId="0" quotePrefix="1" applyFont="1" applyFill="1" applyBorder="1" applyAlignment="1" applyProtection="1">
      <alignment horizontal="center" vertical="center" wrapText="1" shrinkToFit="1"/>
      <protection locked="0"/>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0" fillId="0" borderId="4" xfId="0" applyFont="1" applyBorder="1" applyAlignment="1">
      <alignment horizontal="center" vertical="center"/>
    </xf>
    <xf numFmtId="0" fontId="11" fillId="6" borderId="4" xfId="0" applyFont="1" applyFill="1" applyBorder="1" applyAlignment="1">
      <alignment horizontal="center" vertical="center"/>
    </xf>
    <xf numFmtId="0" fontId="11" fillId="0" borderId="4" xfId="0" applyFont="1" applyFill="1" applyBorder="1" applyAlignment="1" applyProtection="1">
      <alignment horizontal="center" vertical="center"/>
    </xf>
    <xf numFmtId="0" fontId="10" fillId="1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5" fillId="0" borderId="4" xfId="0" applyFont="1" applyBorder="1" applyAlignment="1" applyProtection="1">
      <alignment horizontal="center" vertical="center" wrapText="1" shrinkToFit="1"/>
      <protection locked="0"/>
    </xf>
    <xf numFmtId="0" fontId="5" fillId="0" borderId="4" xfId="0" quotePrefix="1" applyFont="1" applyBorder="1" applyAlignment="1" applyProtection="1">
      <alignment horizontal="center" vertical="center" wrapText="1" shrinkToFit="1"/>
      <protection locked="0"/>
    </xf>
    <xf numFmtId="0" fontId="5" fillId="0" borderId="4" xfId="0" applyFont="1" applyFill="1" applyBorder="1" applyAlignment="1">
      <alignment horizontal="center" vertical="center" wrapText="1"/>
    </xf>
    <xf numFmtId="0" fontId="5" fillId="0" borderId="4" xfId="0" quotePrefix="1" applyFont="1" applyBorder="1" applyAlignment="1" applyProtection="1">
      <alignment horizontal="left" vertical="center" wrapText="1"/>
      <protection locked="0"/>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0" borderId="5" xfId="0" quotePrefix="1" applyFont="1" applyBorder="1" applyAlignment="1">
      <alignment horizontal="center" vertical="center" wrapText="1"/>
    </xf>
    <xf numFmtId="0" fontId="10" fillId="0" borderId="6" xfId="0" quotePrefix="1" applyFont="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0" fontId="5" fillId="0" borderId="5" xfId="0" quotePrefix="1" applyFont="1" applyBorder="1" applyAlignment="1" applyProtection="1">
      <alignment horizontal="center" vertical="center" wrapText="1"/>
      <protection locked="0"/>
    </xf>
    <xf numFmtId="0" fontId="5" fillId="0" borderId="6" xfId="0" quotePrefix="1" applyFont="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0" fontId="5" fillId="0" borderId="5" xfId="0" quotePrefix="1" applyFont="1" applyBorder="1" applyAlignment="1" applyProtection="1">
      <alignment horizontal="center" vertical="center" wrapText="1" shrinkToFit="1"/>
      <protection locked="0"/>
    </xf>
    <xf numFmtId="0" fontId="5" fillId="0" borderId="6" xfId="0" quotePrefix="1" applyFont="1" applyBorder="1" applyAlignment="1" applyProtection="1">
      <alignment horizontal="center" vertical="center" wrapText="1" shrinkToFit="1"/>
      <protection locked="0"/>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7" borderId="4"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9" borderId="4" xfId="0" applyFont="1" applyFill="1" applyBorder="1" applyAlignment="1">
      <alignment horizontal="center" vertical="center" wrapText="1"/>
    </xf>
  </cellXfs>
  <cellStyles count="2">
    <cellStyle name="Millares" xfId="1" builtinId="3"/>
    <cellStyle name="Normal" xfId="0" builtinId="0"/>
  </cellStyles>
  <dxfs count="156">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patternType="solid">
          <bgColor theme="0" tint="-4.9989318521683403E-2"/>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patternType="solid">
          <bgColor theme="0" tint="-4.9989318521683403E-2"/>
        </patternFill>
      </fill>
    </dxf>
    <dxf>
      <fill>
        <patternFill>
          <bgColor rgb="FF33CC33"/>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istraci&#243;n%20de%20Riesgos/2020/1%20Mapa_Riesgos_%20Direccionamiento%20Estrat&#232;gic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SistemasSI_201908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cavila\AppData\Local\Microsoft\Windows\INetCache\Content.Outlook\ULWX3H70\Mapa_Riesgos_GD_0904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bprint\planeacion_sig\Administraci&#243;n%20de%20Riesgos\2019\14%20Matriz%20Riesgos%20Gesti&#243;n%20Financi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CABREJO\AppData\Local\Microsoft\Windows\INetCache\Content.Outlook\51S8K20B\GMC-FO-003_Mapa_Riesgos%20Evaluacion%20Independiente%2004%2012%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ABREJO\AppData\Local\Microsoft\Windows\INetCache\Content.Outlook\51S8K20B\formato%20%20comunicaciones%20riesgos%20corrupcion%20jul%2024%202019%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ministraci&#243;n%20de%20Riesgos/2020/4%20Mapa_Riesgos_Gesntion%20Normativa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dministraci&#243;n%20de%20Riesgos/2020/5%20Mapa_Riesgos_Elecciones%20de%20Servidores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dministraci&#243;n%20de%20Riesgos/2020/6%20Mapa_Riesgos_Control%20Politico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BJRODRIGUEZ\Documents\Procesos\7-Atenci&#243;n%20al%20Ciudadano\riesgos%20c\Riesgo%20de%20corrupcion%20atencion%20al%20ciudada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Parra\AppData\Local\Microsoft\Windows\INetCache\Content.Outlook\F8GL4BH2\formato%20GESTION%20DE%20TALENTO%20HUM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BJRODRIGUEZ\AppData\Local\Microsoft\Windows\INetCache\Content.Outlook\PCY2IAS8\formato%20gesti&#243;n%20jurid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BJRODRIGUEZ\AppData\Local\Microsoft\Windows\INetCache\Content.Outlook\PCY2IAS8\formato%20GESTION%20DE%20RECURSOS%20FIS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sheetData sheetId="1"/>
      <sheetData sheetId="2"/>
      <sheetData sheetId="3"/>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_Proceso"/>
      <sheetName val="M1. Cal_Probab_Impac_Gestion"/>
      <sheetName val="M2.Cal_Prob_Impacto_Corrupc"/>
      <sheetName val="M3. Cal_Probab_Impac_Seguri"/>
      <sheetName val="Listas"/>
    </sheetNames>
    <sheetDataSet>
      <sheetData sheetId="0" refreshError="1"/>
      <sheetData sheetId="1" refreshError="1"/>
      <sheetData sheetId="2" refreshError="1"/>
      <sheetData sheetId="3" refreshError="1"/>
      <sheetData sheetId="4" refreshError="1">
        <row r="30">
          <cell r="C30">
            <v>15</v>
          </cell>
        </row>
        <row r="31">
          <cell r="C31">
            <v>0</v>
          </cell>
        </row>
        <row r="32">
          <cell r="C32">
            <v>15</v>
          </cell>
        </row>
        <row r="33">
          <cell r="C33">
            <v>0</v>
          </cell>
        </row>
        <row r="34">
          <cell r="C34">
            <v>15</v>
          </cell>
        </row>
        <row r="35">
          <cell r="C35">
            <v>0</v>
          </cell>
        </row>
        <row r="36">
          <cell r="C36">
            <v>15</v>
          </cell>
        </row>
        <row r="37">
          <cell r="C37">
            <v>10</v>
          </cell>
        </row>
        <row r="38">
          <cell r="C38">
            <v>0</v>
          </cell>
        </row>
        <row r="39">
          <cell r="C39">
            <v>15</v>
          </cell>
        </row>
        <row r="40">
          <cell r="C40">
            <v>0</v>
          </cell>
        </row>
        <row r="41">
          <cell r="C41">
            <v>15</v>
          </cell>
        </row>
        <row r="42">
          <cell r="C42">
            <v>0</v>
          </cell>
        </row>
        <row r="43">
          <cell r="C43">
            <v>10</v>
          </cell>
        </row>
        <row r="44">
          <cell r="C44">
            <v>5</v>
          </cell>
        </row>
        <row r="45">
          <cell r="C4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S43"/>
  <sheetViews>
    <sheetView tabSelected="1" workbookViewId="0">
      <selection activeCell="A3" sqref="A3:AS3"/>
    </sheetView>
  </sheetViews>
  <sheetFormatPr baseColWidth="10" defaultRowHeight="15" x14ac:dyDescent="0.25"/>
  <cols>
    <col min="1" max="1" width="12.5703125" customWidth="1"/>
    <col min="6" max="6" width="23" customWidth="1"/>
    <col min="7" max="7" width="24.28515625" customWidth="1"/>
    <col min="8" max="8" width="25.5703125" customWidth="1"/>
    <col min="9" max="9" width="23.140625" customWidth="1"/>
    <col min="15" max="15" width="35.140625" bestFit="1" customWidth="1"/>
    <col min="41" max="41" width="14.5703125" bestFit="1" customWidth="1"/>
  </cols>
  <sheetData>
    <row r="3" spans="1:45" ht="36" x14ac:dyDescent="0.55000000000000004">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5" spans="1:45" s="1" customFormat="1" ht="15" customHeight="1" x14ac:dyDescent="0.25">
      <c r="A5" s="68"/>
      <c r="B5" s="69"/>
      <c r="C5" s="178" t="s">
        <v>1</v>
      </c>
      <c r="D5" s="179"/>
      <c r="E5" s="179"/>
      <c r="F5" s="180" t="s">
        <v>2</v>
      </c>
      <c r="G5" s="180"/>
      <c r="H5" s="180"/>
      <c r="I5" s="180"/>
      <c r="J5" s="181"/>
      <c r="K5" s="182" t="s">
        <v>3</v>
      </c>
      <c r="L5" s="183"/>
      <c r="M5" s="183"/>
      <c r="N5" s="184"/>
      <c r="O5" s="185" t="s">
        <v>4</v>
      </c>
      <c r="P5" s="186"/>
      <c r="Q5" s="186"/>
      <c r="R5" s="186"/>
      <c r="S5" s="186"/>
      <c r="T5" s="186"/>
      <c r="U5" s="186"/>
      <c r="V5" s="186"/>
      <c r="W5" s="186"/>
      <c r="X5" s="186"/>
      <c r="Y5" s="186"/>
      <c r="Z5" s="186"/>
      <c r="AA5" s="186"/>
      <c r="AB5" s="186"/>
      <c r="AC5" s="186"/>
      <c r="AD5" s="186"/>
      <c r="AE5" s="186"/>
      <c r="AF5" s="186"/>
      <c r="AG5" s="186"/>
      <c r="AH5" s="186"/>
      <c r="AI5" s="2"/>
      <c r="AJ5" s="86" t="s">
        <v>5</v>
      </c>
      <c r="AK5" s="86"/>
      <c r="AL5" s="86"/>
      <c r="AM5" s="86"/>
      <c r="AN5" s="176" t="s">
        <v>6</v>
      </c>
      <c r="AO5" s="176"/>
      <c r="AP5" s="176"/>
      <c r="AQ5" s="176"/>
      <c r="AR5" s="176"/>
      <c r="AS5" s="176"/>
    </row>
    <row r="6" spans="1:45" s="3" customFormat="1" ht="15" customHeight="1" x14ac:dyDescent="0.25">
      <c r="A6" s="70"/>
      <c r="B6" s="177" t="s">
        <v>7</v>
      </c>
      <c r="C6" s="177" t="s">
        <v>8</v>
      </c>
      <c r="D6" s="177" t="s">
        <v>9</v>
      </c>
      <c r="E6" s="177"/>
      <c r="F6" s="177" t="s">
        <v>10</v>
      </c>
      <c r="G6" s="177" t="s">
        <v>11</v>
      </c>
      <c r="H6" s="177" t="s">
        <v>12</v>
      </c>
      <c r="I6" s="177" t="s">
        <v>13</v>
      </c>
      <c r="J6" s="177" t="s">
        <v>14</v>
      </c>
      <c r="K6" s="177" t="s">
        <v>15</v>
      </c>
      <c r="L6" s="177" t="s">
        <v>16</v>
      </c>
      <c r="M6" s="177" t="s">
        <v>17</v>
      </c>
      <c r="N6" s="177"/>
      <c r="O6" s="177" t="s">
        <v>18</v>
      </c>
      <c r="P6" s="177" t="s">
        <v>19</v>
      </c>
      <c r="Q6" s="177" t="s">
        <v>20</v>
      </c>
      <c r="R6" s="177" t="s">
        <v>21</v>
      </c>
      <c r="S6" s="177" t="s">
        <v>22</v>
      </c>
      <c r="T6" s="177"/>
      <c r="U6" s="177"/>
      <c r="V6" s="177"/>
      <c r="W6" s="177"/>
      <c r="X6" s="177"/>
      <c r="Y6" s="177"/>
      <c r="Z6" s="177"/>
      <c r="AA6" s="177"/>
      <c r="AB6" s="177"/>
      <c r="AC6" s="177"/>
      <c r="AD6" s="177"/>
      <c r="AE6" s="177"/>
      <c r="AF6" s="177"/>
      <c r="AG6" s="187" t="s">
        <v>23</v>
      </c>
      <c r="AH6" s="187" t="s">
        <v>24</v>
      </c>
      <c r="AI6" s="187" t="s">
        <v>25</v>
      </c>
      <c r="AJ6" s="177" t="s">
        <v>26</v>
      </c>
      <c r="AK6" s="177" t="s">
        <v>27</v>
      </c>
      <c r="AL6" s="177" t="s">
        <v>28</v>
      </c>
      <c r="AM6" s="177"/>
      <c r="AN6" s="177" t="s">
        <v>29</v>
      </c>
      <c r="AO6" s="177" t="s">
        <v>30</v>
      </c>
      <c r="AP6" s="177" t="s">
        <v>31</v>
      </c>
      <c r="AQ6" s="177" t="s">
        <v>32</v>
      </c>
      <c r="AR6" s="177" t="s">
        <v>33</v>
      </c>
      <c r="AS6" s="177" t="s">
        <v>34</v>
      </c>
    </row>
    <row r="7" spans="1:45" s="3" customFormat="1" ht="180.75" customHeight="1" x14ac:dyDescent="0.25">
      <c r="A7" s="71" t="s">
        <v>67</v>
      </c>
      <c r="B7" s="177" t="s">
        <v>35</v>
      </c>
      <c r="C7" s="177"/>
      <c r="D7" s="4" t="s">
        <v>36</v>
      </c>
      <c r="E7" s="4" t="s">
        <v>37</v>
      </c>
      <c r="F7" s="177"/>
      <c r="G7" s="177"/>
      <c r="H7" s="177"/>
      <c r="I7" s="177"/>
      <c r="J7" s="177"/>
      <c r="K7" s="177"/>
      <c r="L7" s="177"/>
      <c r="M7" s="177"/>
      <c r="N7" s="177"/>
      <c r="O7" s="177"/>
      <c r="P7" s="177"/>
      <c r="Q7" s="177"/>
      <c r="R7" s="177"/>
      <c r="S7" s="177" t="s">
        <v>38</v>
      </c>
      <c r="T7" s="177"/>
      <c r="U7" s="177" t="s">
        <v>39</v>
      </c>
      <c r="V7" s="177"/>
      <c r="W7" s="177" t="s">
        <v>40</v>
      </c>
      <c r="X7" s="177"/>
      <c r="Y7" s="177" t="s">
        <v>41</v>
      </c>
      <c r="Z7" s="177"/>
      <c r="AA7" s="177" t="s">
        <v>42</v>
      </c>
      <c r="AB7" s="177"/>
      <c r="AC7" s="177" t="s">
        <v>43</v>
      </c>
      <c r="AD7" s="177"/>
      <c r="AE7" s="177" t="s">
        <v>44</v>
      </c>
      <c r="AF7" s="177"/>
      <c r="AG7" s="187"/>
      <c r="AH7" s="187"/>
      <c r="AI7" s="187"/>
      <c r="AJ7" s="177"/>
      <c r="AK7" s="177"/>
      <c r="AL7" s="177"/>
      <c r="AM7" s="177"/>
      <c r="AN7" s="177"/>
      <c r="AO7" s="177"/>
      <c r="AP7" s="177"/>
      <c r="AQ7" s="177"/>
      <c r="AR7" s="177"/>
      <c r="AS7" s="177"/>
    </row>
    <row r="8" spans="1:45" s="1" customFormat="1" ht="142.5" customHeight="1" x14ac:dyDescent="0.25">
      <c r="A8" s="72" t="s">
        <v>68</v>
      </c>
      <c r="B8" s="5">
        <v>1</v>
      </c>
      <c r="C8" s="5" t="s">
        <v>45</v>
      </c>
      <c r="D8" s="5" t="s">
        <v>46</v>
      </c>
      <c r="E8" s="5"/>
      <c r="F8" s="5" t="s">
        <v>45</v>
      </c>
      <c r="G8" s="6" t="s">
        <v>47</v>
      </c>
      <c r="H8" s="7" t="s">
        <v>48</v>
      </c>
      <c r="I8" s="8" t="s">
        <v>49</v>
      </c>
      <c r="J8" s="9" t="s">
        <v>50</v>
      </c>
      <c r="K8" s="10">
        <v>3</v>
      </c>
      <c r="L8" s="5">
        <v>4</v>
      </c>
      <c r="M8" s="11">
        <f>K8*L8</f>
        <v>12</v>
      </c>
      <c r="N8" s="12" t="str">
        <f>IF(AND(K8=1,L8=1),"BAJO",IF(AND(K8=1,L8=2),"BAJO",IF(AND(K8=2,L8=1),"BAJO",IF(AND(K8=2,L8=2),"BAJO",IF(AND(K8=3,L8=1),"BAJO",IF(AND(K8=1,L8=3),"MODERADO",IF(AND(K8=2,L8=3),"MODERADO",IF(AND(K8=3,L8=2),"MODERADO",IF(AND(K8=4,L8=1),"MODERADO",IF(AND(K8=5,L8=1),"ALTO",IF(AND(K8=4,L8=2),"ALTO",IF(AND(K8=3,L8=3),"ALTO",IF(AND(K8=2,L8=4),"ALTO",IF(AND(K8=1,L8=4),"ALTO",IF(AND(K8=5,L8=2),"ALTO",IF(AND(K8=4,L8=3),"ALTO","EXTREMO"))))))))))))))))</f>
        <v>EXTREMO</v>
      </c>
      <c r="O8" s="13" t="s">
        <v>51</v>
      </c>
      <c r="P8" s="14" t="s">
        <v>52</v>
      </c>
      <c r="Q8" s="15" t="s">
        <v>53</v>
      </c>
      <c r="R8" s="15" t="s">
        <v>53</v>
      </c>
      <c r="S8" s="16" t="s">
        <v>54</v>
      </c>
      <c r="T8" s="17">
        <f>IF(S8="Asignado",[1]Listas!$C$30,[1]Listas!$C$31)</f>
        <v>15</v>
      </c>
      <c r="U8" s="16" t="s">
        <v>55</v>
      </c>
      <c r="V8" s="17">
        <f>IF(U8="Adecuado",[1]Listas!$C$32,[1]Listas!$C$33)</f>
        <v>15</v>
      </c>
      <c r="W8" s="16" t="s">
        <v>56</v>
      </c>
      <c r="X8" s="17">
        <f>IF(W8="Oportuna",[1]Listas!$C$34,[1]Listas!$C$35)</f>
        <v>15</v>
      </c>
      <c r="Y8" s="16" t="s">
        <v>57</v>
      </c>
      <c r="Z8" s="17">
        <f>IF(Y8="Prevenir",[1]Listas!$C$36,IF(Y8="Detectar",[1]Listas!$C$37,[1]Listas!$C$38))</f>
        <v>15</v>
      </c>
      <c r="AA8" s="16" t="s">
        <v>58</v>
      </c>
      <c r="AB8" s="17">
        <f>IF(AA8="Confiable",[1]Listas!$C$39,[1]Listas!$C$40)</f>
        <v>15</v>
      </c>
      <c r="AC8" s="16" t="s">
        <v>59</v>
      </c>
      <c r="AD8" s="17">
        <f>IF(AC8="Se investigan y resuelven oportunamente",[1]Listas!$C$41,[1]Listas!$C$42)</f>
        <v>15</v>
      </c>
      <c r="AE8" s="16" t="s">
        <v>60</v>
      </c>
      <c r="AF8" s="17">
        <f>IF(AE8="Completa",[1]Listas!$C$43,IF(AE8="Incompleta",[1]Listas!$C$44,[1]Listas!$C$45))</f>
        <v>10</v>
      </c>
      <c r="AG8" s="14">
        <f>T8+V8+X8+Z8+AB8+AD8+AF8</f>
        <v>100</v>
      </c>
      <c r="AH8" s="5">
        <f>AVERAGE(AG8:AG8)</f>
        <v>100</v>
      </c>
      <c r="AI8" s="18" t="str">
        <f>IF(AND(AH8&gt;=96,AH8&lt;=100),"FUERTE",IF(AND(AH8&gt;=86,AH8&lt;=95),"MODERADO","DEBIL"))</f>
        <v>FUERTE</v>
      </c>
      <c r="AJ8" s="10">
        <v>1</v>
      </c>
      <c r="AK8" s="5">
        <v>3</v>
      </c>
      <c r="AL8" s="11">
        <f>AJ8*AK8</f>
        <v>3</v>
      </c>
      <c r="AM8" s="19" t="str">
        <f>IF(AND(AJ8=1,AK8=1),"BAJO",IF(AND(AJ8=1,AK8=2),"BAJO",IF(AND(AJ8=2,AK8=1),"BAJO",IF(AND(AJ8=2,AK8=2),"BAJO",IF(AND(AJ8=3,AK8=1),"BAJO",IF(AND(AJ8=1,AK8=3),"MODERADO",IF(AND(AJ8=2,AK8=3),"MODERADO",IF(AND(AJ8=3,AK8=2),"MODERADO",IF(AND(AJ8=4,AK8=1),"MODERADO",IF(AND(AJ8=5,AK8=1),"ALTO",IF(AND(AJ8=4,AK8=2),"ALTO",IF(AND(AJ8=3,AK8=3),"ALTO",IF(AND(AJ8=2,AK8=4),"ALTO",IF(AND(AJ8=1,AK8=4),"ALTO",IF(AND(AJ8=5,AK8=2),"ALTO",IF(AND(AJ8=4,AK8=3),"ALTO","EXTREMO"))))))))))))))))</f>
        <v>MODERADO</v>
      </c>
      <c r="AN8" s="16" t="s">
        <v>61</v>
      </c>
      <c r="AO8" s="20" t="s">
        <v>62</v>
      </c>
      <c r="AP8" s="20" t="s">
        <v>63</v>
      </c>
      <c r="AQ8" s="20" t="s">
        <v>64</v>
      </c>
      <c r="AR8" s="21" t="s">
        <v>65</v>
      </c>
      <c r="AS8" s="20" t="s">
        <v>66</v>
      </c>
    </row>
    <row r="9" spans="1:45" s="1" customFormat="1" ht="142.5" customHeight="1" x14ac:dyDescent="0.25">
      <c r="A9" s="73" t="s">
        <v>229</v>
      </c>
      <c r="B9" s="5">
        <v>2</v>
      </c>
      <c r="C9" s="5"/>
      <c r="D9" s="5"/>
      <c r="E9" s="5" t="s">
        <v>69</v>
      </c>
      <c r="F9" s="5" t="s">
        <v>70</v>
      </c>
      <c r="G9" s="6" t="s">
        <v>71</v>
      </c>
      <c r="H9" s="7" t="s">
        <v>72</v>
      </c>
      <c r="I9" s="8" t="s">
        <v>73</v>
      </c>
      <c r="J9" s="9" t="s">
        <v>50</v>
      </c>
      <c r="K9" s="10">
        <v>3</v>
      </c>
      <c r="L9" s="5">
        <v>4</v>
      </c>
      <c r="M9" s="11">
        <f>K9*L9</f>
        <v>12</v>
      </c>
      <c r="N9" s="12" t="str">
        <f>IF(AND(K9=1,L9=1),"BAJO",IF(AND(K9=1,L9=2),"BAJO",IF(AND(K9=2,L9=1),"BAJO",IF(AND(K9=2,L9=2),"BAJO",IF(AND(K9=3,L9=1),"BAJO",IF(AND(K9=1,L9=3),"MODERADO",IF(AND(K9=2,L9=3),"MODERADO",IF(AND(K9=3,L9=2),"MODERADO",IF(AND(K9=4,L9=1),"MODERADO",IF(AND(K9=5,L9=1),"ALTO",IF(AND(K9=4,L9=2),"ALTO",IF(AND(K9=3,L9=3),"ALTO",IF(AND(K9=2,L9=4),"ALTO",IF(AND(K9=1,L9=4),"ALTO",IF(AND(K9=5,L9=2),"ALTO",IF(AND(K9=4,L9=3),"ALTO","EXTREMO"))))))))))))))))</f>
        <v>EXTREMO</v>
      </c>
      <c r="O9" s="13" t="s">
        <v>74</v>
      </c>
      <c r="P9" s="14" t="s">
        <v>52</v>
      </c>
      <c r="Q9" s="15" t="s">
        <v>53</v>
      </c>
      <c r="R9" s="15" t="s">
        <v>53</v>
      </c>
      <c r="S9" s="16" t="s">
        <v>54</v>
      </c>
      <c r="T9" s="17">
        <f>IF(S9="Asignado",[2]Listas!$C$30,[2]Listas!$C$31)</f>
        <v>15</v>
      </c>
      <c r="U9" s="16" t="s">
        <v>55</v>
      </c>
      <c r="V9" s="17">
        <f>IF(U9="Adecuado",[2]Listas!$C$32,[2]Listas!$C$33)</f>
        <v>15</v>
      </c>
      <c r="W9" s="16" t="s">
        <v>56</v>
      </c>
      <c r="X9" s="17">
        <f>IF(W9="Oportuna",[2]Listas!$C$34,[2]Listas!$C$35)</f>
        <v>15</v>
      </c>
      <c r="Y9" s="16" t="s">
        <v>75</v>
      </c>
      <c r="Z9" s="17">
        <f>IF(Y9="Prevenir",[2]Listas!$C$36,IF(Y9="Detectar",[2]Listas!$C$37,[2]Listas!$C$38))</f>
        <v>10</v>
      </c>
      <c r="AA9" s="16" t="s">
        <v>58</v>
      </c>
      <c r="AB9" s="17">
        <f>IF(AA9="Confiable",[2]Listas!$C$39,[2]Listas!$C$40)</f>
        <v>15</v>
      </c>
      <c r="AC9" s="16" t="s">
        <v>59</v>
      </c>
      <c r="AD9" s="17">
        <f>IF(AC9="Se investigan y resuelven oportunamente",[2]Listas!$C$41,[2]Listas!$C$42)</f>
        <v>15</v>
      </c>
      <c r="AE9" s="16" t="s">
        <v>60</v>
      </c>
      <c r="AF9" s="17">
        <f>IF(AE9="Completa",[2]Listas!$C$43,IF(AE9="Incompleta",[2]Listas!$C$44,[2]Listas!$C$45))</f>
        <v>10</v>
      </c>
      <c r="AG9" s="14">
        <f>T9+V9+X9+Z9+AB9+AD9+AF9</f>
        <v>95</v>
      </c>
      <c r="AH9" s="5">
        <f>AVERAGE(AG9:AG9)</f>
        <v>95</v>
      </c>
      <c r="AI9" s="18" t="str">
        <f>IF(AND(AH9&gt;=96,AH9&lt;=100),"FUERTE",IF(AND(AH9&gt;=86,AH9&lt;=95),"MODERADO","DEBIL"))</f>
        <v>MODERADO</v>
      </c>
      <c r="AJ9" s="10">
        <v>2</v>
      </c>
      <c r="AK9" s="5">
        <v>3</v>
      </c>
      <c r="AL9" s="11">
        <f>AJ9*AK9</f>
        <v>6</v>
      </c>
      <c r="AM9" s="19" t="str">
        <f>IF(AND(AJ9=1,AK9=1),"BAJO",IF(AND(AJ9=1,AK9=2),"BAJO",IF(AND(AJ9=2,AK9=1),"BAJO",IF(AND(AJ9=2,AK9=2),"BAJO",IF(AND(AJ9=3,AK9=1),"BAJO",IF(AND(AJ9=1,AK9=3),"MODERADO",IF(AND(AJ9=2,AK9=3),"MODERADO",IF(AND(AJ9=3,AK9=2),"MODERADO",IF(AND(AJ9=4,AK9=1),"MODERADO",IF(AND(AJ9=5,AK9=1),"ALTO",IF(AND(AJ9=4,AK9=2),"ALTO",IF(AND(AJ9=3,AK9=3),"ALTO",IF(AND(AJ9=2,AK9=4),"ALTO",IF(AND(AJ9=1,AK9=4),"ALTO",IF(AND(AJ9=5,AK9=2),"ALTO",IF(AND(AJ9=4,AK9=3),"ALTO","EXTREMO"))))))))))))))))</f>
        <v>MODERADO</v>
      </c>
      <c r="AN9" s="16" t="s">
        <v>61</v>
      </c>
      <c r="AO9" s="20" t="s">
        <v>76</v>
      </c>
      <c r="AP9" s="20" t="s">
        <v>77</v>
      </c>
      <c r="AQ9" s="20" t="s">
        <v>78</v>
      </c>
      <c r="AR9" s="21" t="s">
        <v>79</v>
      </c>
      <c r="AS9" s="20" t="s">
        <v>80</v>
      </c>
    </row>
    <row r="10" spans="1:45" s="28" customFormat="1" ht="102" customHeight="1" x14ac:dyDescent="0.25">
      <c r="A10" s="78" t="s">
        <v>230</v>
      </c>
      <c r="B10" s="151">
        <v>3</v>
      </c>
      <c r="C10" s="25"/>
      <c r="D10" s="26" t="s">
        <v>81</v>
      </c>
      <c r="E10" s="26"/>
      <c r="F10" s="26"/>
      <c r="G10" s="27" t="s">
        <v>82</v>
      </c>
      <c r="H10" s="154" t="s">
        <v>83</v>
      </c>
      <c r="I10" s="155" t="s">
        <v>84</v>
      </c>
      <c r="J10" s="156" t="s">
        <v>50</v>
      </c>
      <c r="K10" s="146">
        <v>2</v>
      </c>
      <c r="L10" s="142">
        <v>4</v>
      </c>
      <c r="M10" s="143">
        <f t="shared" ref="M10" si="0">K10*L10</f>
        <v>8</v>
      </c>
      <c r="N10" s="144" t="str">
        <f t="shared" ref="N10" si="1">IF(AND(K10=1,L10=1),"BAJO",IF(AND(K10=1,L10=2),"BAJO",IF(AND(K10=2,L10=1),"BAJO",IF(AND(K10=2,L10=2),"BAJO",IF(AND(K10=3,L10=1),"BAJO",IF(AND(K10=1,L10=3),"MODERADO",IF(AND(K10=2,L10=3),"MODERADO",IF(AND(K10=3,L10=2),"MODERADO",IF(AND(K10=4,L10=1),"MODERADO",IF(AND(K10=5,L10=1),"ALTO",IF(AND(K10=4,L10=2),"ALTO",IF(AND(K10=3,L10=3),"ALTO",IF(AND(K10=2,L10=4),"ALTO",IF(AND(K10=1,L10=4),"ALTO",IF(AND(K10=5,L10=2),"ALTO",IF(AND(K10=4,L10=3),"ALTO","EXTREMO"))))))))))))))))</f>
        <v>ALTO</v>
      </c>
      <c r="O10" s="157" t="s">
        <v>85</v>
      </c>
      <c r="P10" s="142" t="s">
        <v>52</v>
      </c>
      <c r="Q10" s="137" t="s">
        <v>53</v>
      </c>
      <c r="R10" s="137" t="s">
        <v>86</v>
      </c>
      <c r="S10" s="145" t="s">
        <v>54</v>
      </c>
      <c r="T10" s="145">
        <f>IF(S10="Asignado",[3]Listas!$C$30,[3]Listas!$C$31)</f>
        <v>15</v>
      </c>
      <c r="U10" s="145" t="s">
        <v>55</v>
      </c>
      <c r="V10" s="145">
        <f>IF(U10="Adecuado",[3]Listas!$C$32,[3]Listas!$C$33)</f>
        <v>15</v>
      </c>
      <c r="W10" s="145" t="s">
        <v>56</v>
      </c>
      <c r="X10" s="145">
        <f>IF(W10="Oportuna",[3]Listas!$C$34,[3]Listas!$C$35)</f>
        <v>15</v>
      </c>
      <c r="Y10" s="145" t="s">
        <v>57</v>
      </c>
      <c r="Z10" s="145">
        <f>IF(Y10="Prevenir",[3]Listas!$C$36,IF(Y10="Detectar",[3]Listas!$C$37,[3]Listas!$C$38))</f>
        <v>15</v>
      </c>
      <c r="AA10" s="145" t="s">
        <v>58</v>
      </c>
      <c r="AB10" s="145">
        <f>IF(AA10="Confiable",[3]Listas!$C$39,[3]Listas!$C$40)</f>
        <v>15</v>
      </c>
      <c r="AC10" s="145" t="s">
        <v>59</v>
      </c>
      <c r="AD10" s="145">
        <f>IF(AC10="Se investigan y resuelven oportunamente",[3]Listas!$C$41,[3]Listas!$C$42)</f>
        <v>15</v>
      </c>
      <c r="AE10" s="145" t="s">
        <v>60</v>
      </c>
      <c r="AF10" s="145">
        <f>IF(AE10="Completa",[3]Listas!$C$43,IF(AE10="Incompleta",[3]Listas!$C$44,[3]Listas!$C$45))</f>
        <v>10</v>
      </c>
      <c r="AG10" s="142">
        <f t="shared" ref="AG10" si="2">T10+V10+X10+Z10+AB10+AD10+AF10</f>
        <v>100</v>
      </c>
      <c r="AH10" s="142">
        <v>100</v>
      </c>
      <c r="AI10" s="146">
        <v>1</v>
      </c>
      <c r="AJ10" s="142">
        <v>4</v>
      </c>
      <c r="AK10" s="143">
        <f t="shared" ref="AK10" si="3">AI10*AJ10</f>
        <v>4</v>
      </c>
      <c r="AL10" s="144" t="str">
        <f t="shared" ref="AL10" si="4">IF(AND(AI10=1,AJ10=1),"BAJO",IF(AND(AI10=1,AJ10=2),"BAJO",IF(AND(AI10=2,AJ10=1),"BAJO",IF(AND(AI10=2,AJ10=2),"BAJO",IF(AND(AI10=3,AJ10=1),"BAJO",IF(AND(AI10=1,AJ10=3),"MODERADO",IF(AND(AI10=2,AJ10=3),"MODERADO",IF(AND(AI10=3,AJ10=2),"MODERADO",IF(AND(AI10=4,AJ10=1),"MODERADO",IF(AND(AI10=5,AJ10=1),"ALTO",IF(AND(AI10=4,AJ10=2),"ALTO",IF(AND(AI10=3,AJ10=3),"ALTO",IF(AND(AI10=2,AJ10=4),"ALTO",IF(AND(AI10=1,AJ10=4),"ALTO",IF(AND(AI10=5,AJ10=2),"ALTO",IF(AND(AI10=4,AJ10=3),"ALTO","EXTREMO"))))))))))))))))</f>
        <v>ALTO</v>
      </c>
      <c r="AM10" s="145" t="s">
        <v>87</v>
      </c>
      <c r="AN10" s="137" t="s">
        <v>88</v>
      </c>
      <c r="AO10" s="137" t="s">
        <v>89</v>
      </c>
      <c r="AP10" s="137" t="s">
        <v>90</v>
      </c>
      <c r="AQ10" s="137" t="s">
        <v>91</v>
      </c>
      <c r="AR10" s="137" t="s">
        <v>92</v>
      </c>
    </row>
    <row r="11" spans="1:45" s="28" customFormat="1" ht="27" customHeight="1" x14ac:dyDescent="0.25">
      <c r="A11" s="78"/>
      <c r="B11" s="152"/>
      <c r="C11" s="25"/>
      <c r="D11" s="26" t="s">
        <v>81</v>
      </c>
      <c r="E11" s="26"/>
      <c r="F11" s="26"/>
      <c r="G11" s="29" t="s">
        <v>93</v>
      </c>
      <c r="H11" s="154"/>
      <c r="I11" s="155"/>
      <c r="J11" s="156"/>
      <c r="K11" s="146"/>
      <c r="L11" s="142"/>
      <c r="M11" s="143"/>
      <c r="N11" s="144"/>
      <c r="O11" s="157"/>
      <c r="P11" s="142"/>
      <c r="Q11" s="137"/>
      <c r="R11" s="137"/>
      <c r="S11" s="145"/>
      <c r="T11" s="145"/>
      <c r="U11" s="145"/>
      <c r="V11" s="145"/>
      <c r="W11" s="145"/>
      <c r="X11" s="145"/>
      <c r="Y11" s="145"/>
      <c r="Z11" s="145"/>
      <c r="AA11" s="145"/>
      <c r="AB11" s="145"/>
      <c r="AC11" s="145"/>
      <c r="AD11" s="145"/>
      <c r="AE11" s="145"/>
      <c r="AF11" s="145"/>
      <c r="AG11" s="142"/>
      <c r="AH11" s="142"/>
      <c r="AI11" s="146"/>
      <c r="AJ11" s="142"/>
      <c r="AK11" s="143"/>
      <c r="AL11" s="144"/>
      <c r="AM11" s="145"/>
      <c r="AN11" s="137"/>
      <c r="AO11" s="137"/>
      <c r="AP11" s="137"/>
      <c r="AQ11" s="137"/>
      <c r="AR11" s="137"/>
    </row>
    <row r="12" spans="1:45" s="28" customFormat="1" ht="27" customHeight="1" x14ac:dyDescent="0.25">
      <c r="A12" s="78"/>
      <c r="B12" s="152"/>
      <c r="C12" s="30"/>
      <c r="D12" s="26" t="s">
        <v>81</v>
      </c>
      <c r="E12" s="26"/>
      <c r="F12" s="26"/>
      <c r="G12" s="31" t="s">
        <v>94</v>
      </c>
      <c r="H12" s="154"/>
      <c r="I12" s="155"/>
      <c r="J12" s="156"/>
      <c r="K12" s="146"/>
      <c r="L12" s="142"/>
      <c r="M12" s="143"/>
      <c r="N12" s="144"/>
      <c r="O12" s="157"/>
      <c r="P12" s="142"/>
      <c r="Q12" s="137"/>
      <c r="R12" s="137"/>
      <c r="S12" s="145"/>
      <c r="T12" s="145"/>
      <c r="U12" s="145"/>
      <c r="V12" s="145"/>
      <c r="W12" s="145"/>
      <c r="X12" s="145"/>
      <c r="Y12" s="145"/>
      <c r="Z12" s="145"/>
      <c r="AA12" s="145"/>
      <c r="AB12" s="145"/>
      <c r="AC12" s="145"/>
      <c r="AD12" s="145"/>
      <c r="AE12" s="145"/>
      <c r="AF12" s="145"/>
      <c r="AG12" s="142"/>
      <c r="AH12" s="142"/>
      <c r="AI12" s="146"/>
      <c r="AJ12" s="142"/>
      <c r="AK12" s="143"/>
      <c r="AL12" s="144"/>
      <c r="AM12" s="145"/>
      <c r="AN12" s="137"/>
      <c r="AO12" s="137"/>
      <c r="AP12" s="137"/>
      <c r="AQ12" s="137"/>
      <c r="AR12" s="137"/>
    </row>
    <row r="13" spans="1:45" s="28" customFormat="1" ht="26.25" customHeight="1" x14ac:dyDescent="0.25">
      <c r="A13" s="78"/>
      <c r="B13" s="153"/>
      <c r="C13" s="30"/>
      <c r="D13" s="26" t="s">
        <v>81</v>
      </c>
      <c r="E13" s="26"/>
      <c r="F13" s="26"/>
      <c r="G13" s="32" t="s">
        <v>95</v>
      </c>
      <c r="H13" s="154"/>
      <c r="I13" s="155"/>
      <c r="J13" s="156"/>
      <c r="K13" s="146"/>
      <c r="L13" s="142"/>
      <c r="M13" s="143"/>
      <c r="N13" s="144"/>
      <c r="O13" s="157"/>
      <c r="P13" s="142"/>
      <c r="Q13" s="137"/>
      <c r="R13" s="137"/>
      <c r="S13" s="145"/>
      <c r="T13" s="145"/>
      <c r="U13" s="145"/>
      <c r="V13" s="145"/>
      <c r="W13" s="145"/>
      <c r="X13" s="145"/>
      <c r="Y13" s="145"/>
      <c r="Z13" s="145"/>
      <c r="AA13" s="145"/>
      <c r="AB13" s="145"/>
      <c r="AC13" s="145"/>
      <c r="AD13" s="145"/>
      <c r="AE13" s="145"/>
      <c r="AF13" s="145"/>
      <c r="AG13" s="142"/>
      <c r="AH13" s="142"/>
      <c r="AI13" s="146"/>
      <c r="AJ13" s="142"/>
      <c r="AK13" s="143"/>
      <c r="AL13" s="144"/>
      <c r="AM13" s="145"/>
      <c r="AN13" s="137"/>
      <c r="AO13" s="137"/>
      <c r="AP13" s="137"/>
      <c r="AQ13" s="137"/>
      <c r="AR13" s="137"/>
    </row>
    <row r="14" spans="1:45" s="28" customFormat="1" ht="123" customHeight="1" x14ac:dyDescent="0.25">
      <c r="A14" s="79" t="s">
        <v>231</v>
      </c>
      <c r="B14" s="151">
        <v>4</v>
      </c>
      <c r="C14" s="25"/>
      <c r="D14" s="26" t="s">
        <v>81</v>
      </c>
      <c r="E14" s="26"/>
      <c r="F14" s="33"/>
      <c r="G14" s="168" t="s">
        <v>96</v>
      </c>
      <c r="H14" s="170" t="s">
        <v>97</v>
      </c>
      <c r="I14" s="172" t="s">
        <v>98</v>
      </c>
      <c r="J14" s="174" t="s">
        <v>50</v>
      </c>
      <c r="K14" s="164">
        <v>3</v>
      </c>
      <c r="L14" s="151">
        <v>4</v>
      </c>
      <c r="M14" s="166">
        <f t="shared" ref="M14" si="5">K14*L14</f>
        <v>12</v>
      </c>
      <c r="N14" s="158" t="str">
        <f t="shared" ref="N14" si="6">IF(AND(K14=1,L14=1),"BAJO",IF(AND(K14=1,L14=2),"BAJO",IF(AND(K14=2,L14=1),"BAJO",IF(AND(K14=2,L14=2),"BAJO",IF(AND(K14=3,L14=1),"BAJO",IF(AND(K14=1,L14=3),"MODERADO",IF(AND(K14=2,L14=3),"MODERADO",IF(AND(K14=3,L14=2),"MODERADO",IF(AND(K14=4,L14=1),"MODERADO",IF(AND(K14=5,L14=1),"ALTO",IF(AND(K14=4,L14=2),"ALTO",IF(AND(K14=3,L14=3),"ALTO",IF(AND(K14=2,L14=4),"ALTO",IF(AND(K14=1,L14=4),"ALTO",IF(AND(K14=5,L14=2),"ALTO",IF(AND(K14=4,L14=3),"ALTO","EXTREMO"))))))))))))))))</f>
        <v>EXTREMO</v>
      </c>
      <c r="O14" s="168" t="s">
        <v>99</v>
      </c>
      <c r="P14" s="151" t="s">
        <v>52</v>
      </c>
      <c r="Q14" s="147" t="s">
        <v>53</v>
      </c>
      <c r="R14" s="147" t="s">
        <v>100</v>
      </c>
      <c r="S14" s="160" t="s">
        <v>54</v>
      </c>
      <c r="T14" s="160">
        <f>IF(S14="Asignado",[4]Listas!$C$30,[4]Listas!$C$31)</f>
        <v>15</v>
      </c>
      <c r="U14" s="160" t="s">
        <v>55</v>
      </c>
      <c r="V14" s="160">
        <f>IF(U14="Adecuado",[4]Listas!$C$32,[4]Listas!$C$33)</f>
        <v>15</v>
      </c>
      <c r="W14" s="160" t="s">
        <v>56</v>
      </c>
      <c r="X14" s="160">
        <f>IF(W14="Oportuna",[4]Listas!$C$34,[4]Listas!$C$35)</f>
        <v>15</v>
      </c>
      <c r="Y14" s="160" t="s">
        <v>57</v>
      </c>
      <c r="Z14" s="160">
        <f>IF(Y14="Prevenir",[4]Listas!$C$36,IF(Y14="Detectar",[4]Listas!$C$37,[4]Listas!$C$38))</f>
        <v>15</v>
      </c>
      <c r="AA14" s="160" t="s">
        <v>58</v>
      </c>
      <c r="AB14" s="160">
        <f>IF(AA14="Confiable",[4]Listas!$C$39,[4]Listas!$C$40)</f>
        <v>15</v>
      </c>
      <c r="AC14" s="160" t="s">
        <v>59</v>
      </c>
      <c r="AD14" s="160">
        <f>IF(AC14="Se investigan y resuelven oportunamente",[4]Listas!$C$41,[4]Listas!$C$42)</f>
        <v>15</v>
      </c>
      <c r="AE14" s="160" t="s">
        <v>60</v>
      </c>
      <c r="AF14" s="160">
        <f>IF(AE14="Completa",[4]Listas!$C$43,IF(AE14="Incompleta",[4]Listas!$C$44,[4]Listas!$C$45))</f>
        <v>10</v>
      </c>
      <c r="AG14" s="151">
        <f t="shared" ref="AG14" si="7">T14+V14+X14+Z14+AB14+AD14+AF14</f>
        <v>100</v>
      </c>
      <c r="AH14" s="151">
        <f>AVERAGE(AG14:AG14)</f>
        <v>100</v>
      </c>
      <c r="AI14" s="164">
        <v>1</v>
      </c>
      <c r="AJ14" s="151">
        <v>5</v>
      </c>
      <c r="AK14" s="166">
        <f>+AI14*AJ14</f>
        <v>5</v>
      </c>
      <c r="AL14" s="158" t="str">
        <f t="shared" ref="AL14" si="8">IF(AND(AI14=1,AJ14=1),"BAJO",IF(AND(AI14=1,AJ14=2),"BAJO",IF(AND(AI14=2,AJ14=1),"BAJO",IF(AND(AI14=2,AJ14=2),"BAJO",IF(AND(AI14=3,AJ14=1),"BAJO",IF(AND(AI14=1,AJ14=3),"MODERADO",IF(AND(AI14=2,AJ14=3),"MODERADO",IF(AND(AI14=3,AJ14=2),"MODERADO",IF(AND(AI14=4,AJ14=1),"MODERADO",IF(AND(AI14=5,AJ14=1),"ALTO",IF(AND(AI14=4,AJ14=2),"ALTO",IF(AND(AI14=3,AJ14=3),"ALTO",IF(AND(AI14=2,AJ14=4),"ALTO",IF(AND(AI14=1,AJ14=4),"ALTO",IF(AND(AI14=5,AJ14=2),"ALTO",IF(AND(AI14=4,AJ14=3),"ALTO","EXTREMO"))))))))))))))))</f>
        <v>EXTREMO</v>
      </c>
      <c r="AM14" s="160" t="s">
        <v>87</v>
      </c>
      <c r="AN14" s="162" t="s">
        <v>101</v>
      </c>
      <c r="AO14" s="162" t="s">
        <v>102</v>
      </c>
      <c r="AP14" s="147" t="s">
        <v>103</v>
      </c>
      <c r="AQ14" s="147" t="s">
        <v>104</v>
      </c>
      <c r="AR14" s="149" t="s">
        <v>105</v>
      </c>
    </row>
    <row r="15" spans="1:45" s="28" customFormat="1" ht="50.25" customHeight="1" x14ac:dyDescent="0.25">
      <c r="A15" s="79"/>
      <c r="B15" s="153"/>
      <c r="C15" s="25"/>
      <c r="D15" s="26"/>
      <c r="E15" s="26" t="s">
        <v>69</v>
      </c>
      <c r="F15" s="33" t="s">
        <v>96</v>
      </c>
      <c r="G15" s="169"/>
      <c r="H15" s="171"/>
      <c r="I15" s="173"/>
      <c r="J15" s="175"/>
      <c r="K15" s="165"/>
      <c r="L15" s="153"/>
      <c r="M15" s="167"/>
      <c r="N15" s="159"/>
      <c r="O15" s="169"/>
      <c r="P15" s="153"/>
      <c r="Q15" s="148"/>
      <c r="R15" s="148"/>
      <c r="S15" s="161"/>
      <c r="T15" s="161"/>
      <c r="U15" s="161"/>
      <c r="V15" s="161"/>
      <c r="W15" s="161"/>
      <c r="X15" s="161"/>
      <c r="Y15" s="161"/>
      <c r="Z15" s="161"/>
      <c r="AA15" s="161"/>
      <c r="AB15" s="161"/>
      <c r="AC15" s="161"/>
      <c r="AD15" s="161"/>
      <c r="AE15" s="161"/>
      <c r="AF15" s="161"/>
      <c r="AG15" s="153"/>
      <c r="AH15" s="153"/>
      <c r="AI15" s="165"/>
      <c r="AJ15" s="153"/>
      <c r="AK15" s="167"/>
      <c r="AL15" s="159"/>
      <c r="AM15" s="161"/>
      <c r="AN15" s="163"/>
      <c r="AO15" s="163"/>
      <c r="AP15" s="148"/>
      <c r="AQ15" s="148"/>
      <c r="AR15" s="150"/>
    </row>
    <row r="16" spans="1:45" s="28" customFormat="1" ht="102" customHeight="1" x14ac:dyDescent="0.25">
      <c r="A16" s="79" t="s">
        <v>232</v>
      </c>
      <c r="B16" s="151">
        <v>5</v>
      </c>
      <c r="C16" s="25"/>
      <c r="D16" s="26" t="s">
        <v>81</v>
      </c>
      <c r="E16" s="26"/>
      <c r="F16" s="26"/>
      <c r="G16" s="27" t="s">
        <v>82</v>
      </c>
      <c r="H16" s="154" t="s">
        <v>83</v>
      </c>
      <c r="I16" s="155" t="s">
        <v>84</v>
      </c>
      <c r="J16" s="156" t="s">
        <v>50</v>
      </c>
      <c r="K16" s="146">
        <v>2</v>
      </c>
      <c r="L16" s="142">
        <v>4</v>
      </c>
      <c r="M16" s="143">
        <f t="shared" ref="M16" si="9">K16*L16</f>
        <v>8</v>
      </c>
      <c r="N16" s="144" t="str">
        <f t="shared" ref="N16" si="10">IF(AND(K16=1,L16=1),"BAJO",IF(AND(K16=1,L16=2),"BAJO",IF(AND(K16=2,L16=1),"BAJO",IF(AND(K16=2,L16=2),"BAJO",IF(AND(K16=3,L16=1),"BAJO",IF(AND(K16=1,L16=3),"MODERADO",IF(AND(K16=2,L16=3),"MODERADO",IF(AND(K16=3,L16=2),"MODERADO",IF(AND(K16=4,L16=1),"MODERADO",IF(AND(K16=5,L16=1),"ALTO",IF(AND(K16=4,L16=2),"ALTO",IF(AND(K16=3,L16=3),"ALTO",IF(AND(K16=2,L16=4),"ALTO",IF(AND(K16=1,L16=4),"ALTO",IF(AND(K16=5,L16=2),"ALTO",IF(AND(K16=4,L16=3),"ALTO","EXTREMO"))))))))))))))))</f>
        <v>ALTO</v>
      </c>
      <c r="O16" s="157" t="s">
        <v>85</v>
      </c>
      <c r="P16" s="142" t="s">
        <v>52</v>
      </c>
      <c r="Q16" s="137" t="s">
        <v>53</v>
      </c>
      <c r="R16" s="137" t="s">
        <v>86</v>
      </c>
      <c r="S16" s="145" t="s">
        <v>54</v>
      </c>
      <c r="T16" s="145">
        <f>IF(S16="Asignado",[5]Listas!$C$30,[5]Listas!$C$31)</f>
        <v>15</v>
      </c>
      <c r="U16" s="145" t="s">
        <v>55</v>
      </c>
      <c r="V16" s="145">
        <f>IF(U16="Adecuado",[5]Listas!$C$32,[5]Listas!$C$33)</f>
        <v>15</v>
      </c>
      <c r="W16" s="145" t="s">
        <v>56</v>
      </c>
      <c r="X16" s="145">
        <f>IF(W16="Oportuna",[5]Listas!$C$34,[5]Listas!$C$35)</f>
        <v>15</v>
      </c>
      <c r="Y16" s="145" t="s">
        <v>57</v>
      </c>
      <c r="Z16" s="145">
        <f>IF(Y16="Prevenir",[5]Listas!$C$36,IF(Y16="Detectar",[5]Listas!$C$37,[5]Listas!$C$38))</f>
        <v>15</v>
      </c>
      <c r="AA16" s="145" t="s">
        <v>58</v>
      </c>
      <c r="AB16" s="145">
        <f>IF(AA16="Confiable",[5]Listas!$C$39,[5]Listas!$C$40)</f>
        <v>15</v>
      </c>
      <c r="AC16" s="145" t="s">
        <v>59</v>
      </c>
      <c r="AD16" s="145">
        <f>IF(AC16="Se investigan y resuelven oportunamente",[5]Listas!$C$41,[5]Listas!$C$42)</f>
        <v>15</v>
      </c>
      <c r="AE16" s="145" t="s">
        <v>60</v>
      </c>
      <c r="AF16" s="145">
        <f>IF(AE16="Completa",[5]Listas!$C$43,IF(AE16="Incompleta",[5]Listas!$C$44,[5]Listas!$C$45))</f>
        <v>10</v>
      </c>
      <c r="AG16" s="142">
        <f t="shared" ref="AG16" si="11">T16+V16+X16+Z16+AB16+AD16+AF16</f>
        <v>100</v>
      </c>
      <c r="AH16" s="142">
        <v>100</v>
      </c>
      <c r="AI16" s="146">
        <v>1</v>
      </c>
      <c r="AJ16" s="142">
        <v>4</v>
      </c>
      <c r="AK16" s="143">
        <f t="shared" ref="AK16" si="12">AI16*AJ16</f>
        <v>4</v>
      </c>
      <c r="AL16" s="144" t="str">
        <f t="shared" ref="AL16" si="13">IF(AND(AI16=1,AJ16=1),"BAJO",IF(AND(AI16=1,AJ16=2),"BAJO",IF(AND(AI16=2,AJ16=1),"BAJO",IF(AND(AI16=2,AJ16=2),"BAJO",IF(AND(AI16=3,AJ16=1),"BAJO",IF(AND(AI16=1,AJ16=3),"MODERADO",IF(AND(AI16=2,AJ16=3),"MODERADO",IF(AND(AI16=3,AJ16=2),"MODERADO",IF(AND(AI16=4,AJ16=1),"MODERADO",IF(AND(AI16=5,AJ16=1),"ALTO",IF(AND(AI16=4,AJ16=2),"ALTO",IF(AND(AI16=3,AJ16=3),"ALTO",IF(AND(AI16=2,AJ16=4),"ALTO",IF(AND(AI16=1,AJ16=4),"ALTO",IF(AND(AI16=5,AJ16=2),"ALTO",IF(AND(AI16=4,AJ16=3),"ALTO","EXTREMO"))))))))))))))))</f>
        <v>ALTO</v>
      </c>
      <c r="AM16" s="145" t="s">
        <v>87</v>
      </c>
      <c r="AN16" s="137" t="s">
        <v>88</v>
      </c>
      <c r="AO16" s="137" t="s">
        <v>89</v>
      </c>
      <c r="AP16" s="137" t="s">
        <v>90</v>
      </c>
      <c r="AQ16" s="137" t="s">
        <v>91</v>
      </c>
      <c r="AR16" s="137" t="s">
        <v>92</v>
      </c>
    </row>
    <row r="17" spans="1:45" s="28" customFormat="1" ht="27" customHeight="1" x14ac:dyDescent="0.25">
      <c r="A17" s="79"/>
      <c r="B17" s="152"/>
      <c r="C17" s="25"/>
      <c r="D17" s="26" t="s">
        <v>81</v>
      </c>
      <c r="E17" s="26"/>
      <c r="F17" s="26"/>
      <c r="G17" s="29" t="s">
        <v>93</v>
      </c>
      <c r="H17" s="154"/>
      <c r="I17" s="155"/>
      <c r="J17" s="156"/>
      <c r="K17" s="146"/>
      <c r="L17" s="142"/>
      <c r="M17" s="143"/>
      <c r="N17" s="144"/>
      <c r="O17" s="157"/>
      <c r="P17" s="142"/>
      <c r="Q17" s="137"/>
      <c r="R17" s="137"/>
      <c r="S17" s="145"/>
      <c r="T17" s="145"/>
      <c r="U17" s="145"/>
      <c r="V17" s="145"/>
      <c r="W17" s="145"/>
      <c r="X17" s="145"/>
      <c r="Y17" s="145"/>
      <c r="Z17" s="145"/>
      <c r="AA17" s="145"/>
      <c r="AB17" s="145"/>
      <c r="AC17" s="145"/>
      <c r="AD17" s="145"/>
      <c r="AE17" s="145"/>
      <c r="AF17" s="145"/>
      <c r="AG17" s="142"/>
      <c r="AH17" s="142"/>
      <c r="AI17" s="146"/>
      <c r="AJ17" s="142"/>
      <c r="AK17" s="143"/>
      <c r="AL17" s="144"/>
      <c r="AM17" s="145"/>
      <c r="AN17" s="137"/>
      <c r="AO17" s="137"/>
      <c r="AP17" s="137"/>
      <c r="AQ17" s="137"/>
      <c r="AR17" s="137"/>
    </row>
    <row r="18" spans="1:45" s="28" customFormat="1" ht="27" customHeight="1" x14ac:dyDescent="0.25">
      <c r="A18" s="79"/>
      <c r="B18" s="152"/>
      <c r="C18" s="30"/>
      <c r="D18" s="26" t="s">
        <v>81</v>
      </c>
      <c r="E18" s="26"/>
      <c r="F18" s="26"/>
      <c r="G18" s="31" t="s">
        <v>94</v>
      </c>
      <c r="H18" s="154"/>
      <c r="I18" s="155"/>
      <c r="J18" s="156"/>
      <c r="K18" s="146"/>
      <c r="L18" s="142"/>
      <c r="M18" s="143"/>
      <c r="N18" s="144"/>
      <c r="O18" s="157"/>
      <c r="P18" s="142"/>
      <c r="Q18" s="137"/>
      <c r="R18" s="137"/>
      <c r="S18" s="145"/>
      <c r="T18" s="145"/>
      <c r="U18" s="145"/>
      <c r="V18" s="145"/>
      <c r="W18" s="145"/>
      <c r="X18" s="145"/>
      <c r="Y18" s="145"/>
      <c r="Z18" s="145"/>
      <c r="AA18" s="145"/>
      <c r="AB18" s="145"/>
      <c r="AC18" s="145"/>
      <c r="AD18" s="145"/>
      <c r="AE18" s="145"/>
      <c r="AF18" s="145"/>
      <c r="AG18" s="142"/>
      <c r="AH18" s="142"/>
      <c r="AI18" s="146"/>
      <c r="AJ18" s="142"/>
      <c r="AK18" s="143"/>
      <c r="AL18" s="144"/>
      <c r="AM18" s="145"/>
      <c r="AN18" s="137"/>
      <c r="AO18" s="137"/>
      <c r="AP18" s="137"/>
      <c r="AQ18" s="137"/>
      <c r="AR18" s="137"/>
    </row>
    <row r="19" spans="1:45" s="28" customFormat="1" ht="20.25" customHeight="1" x14ac:dyDescent="0.25">
      <c r="A19" s="79"/>
      <c r="B19" s="153"/>
      <c r="C19" s="30"/>
      <c r="D19" s="26" t="s">
        <v>81</v>
      </c>
      <c r="E19" s="26"/>
      <c r="F19" s="26"/>
      <c r="G19" s="32" t="s">
        <v>95</v>
      </c>
      <c r="H19" s="154"/>
      <c r="I19" s="155"/>
      <c r="J19" s="156"/>
      <c r="K19" s="146"/>
      <c r="L19" s="142"/>
      <c r="M19" s="143"/>
      <c r="N19" s="144"/>
      <c r="O19" s="157"/>
      <c r="P19" s="142"/>
      <c r="Q19" s="137"/>
      <c r="R19" s="137"/>
      <c r="S19" s="145"/>
      <c r="T19" s="145"/>
      <c r="U19" s="145"/>
      <c r="V19" s="145"/>
      <c r="W19" s="145"/>
      <c r="X19" s="145"/>
      <c r="Y19" s="145"/>
      <c r="Z19" s="145"/>
      <c r="AA19" s="145"/>
      <c r="AB19" s="145"/>
      <c r="AC19" s="145"/>
      <c r="AD19" s="145"/>
      <c r="AE19" s="145"/>
      <c r="AF19" s="145"/>
      <c r="AG19" s="142"/>
      <c r="AH19" s="142"/>
      <c r="AI19" s="146"/>
      <c r="AJ19" s="142"/>
      <c r="AK19" s="143"/>
      <c r="AL19" s="144"/>
      <c r="AM19" s="145"/>
      <c r="AN19" s="137"/>
      <c r="AO19" s="137"/>
      <c r="AP19" s="137"/>
      <c r="AQ19" s="137"/>
      <c r="AR19" s="137"/>
    </row>
    <row r="20" spans="1:45" s="1" customFormat="1" ht="67.5" customHeight="1" x14ac:dyDescent="0.25">
      <c r="A20" s="73" t="s">
        <v>233</v>
      </c>
      <c r="B20" s="5">
        <v>6</v>
      </c>
      <c r="C20" s="34"/>
      <c r="D20" s="15" t="s">
        <v>46</v>
      </c>
      <c r="E20" s="15"/>
      <c r="F20" s="15"/>
      <c r="G20" s="13" t="s">
        <v>106</v>
      </c>
      <c r="H20" s="35" t="s">
        <v>107</v>
      </c>
      <c r="I20" s="36" t="s">
        <v>108</v>
      </c>
      <c r="J20" s="9" t="s">
        <v>50</v>
      </c>
      <c r="K20" s="10">
        <v>3</v>
      </c>
      <c r="L20" s="5">
        <v>4</v>
      </c>
      <c r="M20" s="11">
        <f>K20*L20</f>
        <v>12</v>
      </c>
      <c r="N20" s="12" t="str">
        <f>IF(AND(K20=1,L20=1),"BAJO",IF(AND(K20=1,L20=2),"BAJO",IF(AND(K20=2,L20=1),"BAJO",IF(AND(K20=2,L20=2),"BAJO",IF(AND(K20=3,L20=1),"BAJO",IF(AND(K20=1,L20=3),"MODERADO",IF(AND(K20=2,L20=3),"MODERADO",IF(AND(K20=3,L20=2),"MODERADO",IF(AND(K20=4,L20=1),"MODERADO",IF(AND(K20=5,L20=1),"ALTO",IF(AND(K20=4,L20=2),"ALTO",IF(AND(K20=3,L20=3),"ALTO",IF(AND(K20=2,L20=4),"ALTO",IF(AND(K20=1,L20=4),"ALTO",IF(AND(K20=5,L20=2),"ALTO",IF(AND(K20=4,L20=3),"ALTO","EXTREMO"))))))))))))))))</f>
        <v>EXTREMO</v>
      </c>
      <c r="O20" s="13" t="s">
        <v>109</v>
      </c>
      <c r="P20" s="14" t="s">
        <v>110</v>
      </c>
      <c r="Q20" s="15" t="s">
        <v>86</v>
      </c>
      <c r="R20" s="15" t="s">
        <v>86</v>
      </c>
      <c r="S20" s="16" t="s">
        <v>54</v>
      </c>
      <c r="T20" s="17">
        <f>IF(S20="Asignado",[6]Listas!$C$30,[6]Listas!$C$31)</f>
        <v>15</v>
      </c>
      <c r="U20" s="16" t="s">
        <v>55</v>
      </c>
      <c r="V20" s="17">
        <f>IF(U20="Adecuado",[6]Listas!$C$32,[6]Listas!$C$33)</f>
        <v>15</v>
      </c>
      <c r="W20" s="16" t="s">
        <v>111</v>
      </c>
      <c r="X20" s="17">
        <f>IF(W20="Oportuna",[6]Listas!$C$34,[6]Listas!$C$35)</f>
        <v>0</v>
      </c>
      <c r="Y20" s="16" t="s">
        <v>112</v>
      </c>
      <c r="Z20" s="17">
        <f>IF(Y20="Prevenir",[6]Listas!$C$36,IF(Y20="Detectar",[6]Listas!$C$37,[6]Listas!$C$38))</f>
        <v>0</v>
      </c>
      <c r="AA20" s="16" t="s">
        <v>113</v>
      </c>
      <c r="AB20" s="17">
        <f>IF(AA20="Confiable",[6]Listas!$C$39,[6]Listas!$C$40)</f>
        <v>0</v>
      </c>
      <c r="AC20" s="16" t="s">
        <v>114</v>
      </c>
      <c r="AD20" s="17">
        <f>IF(AC20="Se investigan y resuelven oportunamente",[6]Listas!$C$41,[6]Listas!$C$42)</f>
        <v>0</v>
      </c>
      <c r="AE20" s="16" t="s">
        <v>115</v>
      </c>
      <c r="AF20" s="17">
        <f>IF(AE20="Completa",[6]Listas!$C$43,IF(AE20="Incompleta",[6]Listas!$C$44,[6]Listas!$C$45))</f>
        <v>5</v>
      </c>
      <c r="AG20" s="14">
        <f>T20+V20+X20+Z20+AB20+AD20+AF20</f>
        <v>35</v>
      </c>
      <c r="AH20" s="5">
        <f>AVERAGE(AG20:AG20)</f>
        <v>35</v>
      </c>
      <c r="AI20" s="23" t="str">
        <f>IF(AND(AH20&gt;=96,AH20&lt;=100),"FUERTE",IF(AND(AH20&gt;=86,AH20&lt;=95),"MODERADO","DEBIL"))</f>
        <v>DEBIL</v>
      </c>
      <c r="AJ20" s="10">
        <v>3</v>
      </c>
      <c r="AK20" s="5">
        <v>4</v>
      </c>
      <c r="AL20" s="11">
        <f>AJ20*AK20</f>
        <v>12</v>
      </c>
      <c r="AM20" s="19" t="str">
        <f>IF(AND(AJ20=1,AK20=1),"BAJO",IF(AND(AJ20=1,AK20=2),"BAJO",IF(AND(AJ20=2,AK20=1),"BAJO",IF(AND(AJ20=2,AK20=2),"BAJO",IF(AND(AJ20=3,AK20=1),"BAJO",IF(AND(AJ20=1,AK20=3),"MODERADO",IF(AND(AJ20=2,AK20=3),"MODERADO",IF(AND(AJ20=3,AK20=2),"MODERADO",IF(AND(AJ20=4,AK20=1),"MODERADO",IF(AND(AJ20=5,AK20=1),"ALTO",IF(AND(AJ20=4,AK20=2),"ALTO",IF(AND(AJ20=3,AK20=3),"ALTO",IF(AND(AJ20=2,AK20=4),"ALTO",IF(AND(AJ20=1,AK20=4),"ALTO",IF(AND(AJ20=5,AK20=2),"ALTO",IF(AND(AJ20=4,AK20=3),"ALTO","EXTREMO"))))))))))))))))</f>
        <v>EXTREMO</v>
      </c>
      <c r="AN20" s="16" t="s">
        <v>61</v>
      </c>
      <c r="AO20" s="20" t="s">
        <v>116</v>
      </c>
      <c r="AP20" s="20" t="s">
        <v>117</v>
      </c>
      <c r="AQ20" s="20" t="s">
        <v>118</v>
      </c>
      <c r="AR20" s="21" t="s">
        <v>119</v>
      </c>
      <c r="AS20" s="20" t="s">
        <v>120</v>
      </c>
    </row>
    <row r="21" spans="1:45" ht="134.25" customHeight="1" x14ac:dyDescent="0.25">
      <c r="A21" s="74" t="s">
        <v>234</v>
      </c>
      <c r="B21" s="37">
        <v>7</v>
      </c>
      <c r="C21" s="38"/>
      <c r="D21" s="39" t="s">
        <v>46</v>
      </c>
      <c r="E21" s="39"/>
      <c r="F21" s="39"/>
      <c r="G21" s="40" t="s">
        <v>121</v>
      </c>
      <c r="H21" s="41" t="s">
        <v>122</v>
      </c>
      <c r="I21" s="42" t="s">
        <v>123</v>
      </c>
      <c r="J21" s="43" t="s">
        <v>50</v>
      </c>
      <c r="K21" s="44">
        <v>3</v>
      </c>
      <c r="L21" s="45">
        <v>5</v>
      </c>
      <c r="M21" s="46">
        <f t="shared" ref="M21" si="14">K21*L21</f>
        <v>15</v>
      </c>
      <c r="N21" s="47" t="str">
        <f t="shared" ref="N21" si="15">IF(AND(K21=1,L21=1),"BAJO",IF(AND(K21=1,L21=2),"BAJO",IF(AND(K21=2,L21=1),"BAJO",IF(AND(K21=2,L21=2),"BAJO",IF(AND(K21=3,L21=1),"BAJO",IF(AND(K21=1,L21=3),"MODERADO",IF(AND(K21=2,L21=3),"MODERADO",IF(AND(K21=3,L21=2),"MODERADO",IF(AND(K21=4,L21=1),"MODERADO",IF(AND(K21=5,L21=1),"ALTO",IF(AND(K21=4,L21=2),"ALTO",IF(AND(K21=3,L21=3),"ALTO",IF(AND(K21=2,L21=4),"ALTO",IF(AND(K21=1,L21=4),"ALTO",IF(AND(K21=5,L21=2),"ALTO",IF(AND(K21=4,L21=3),"ALTO","EXTREMO"))))))))))))))))</f>
        <v>EXTREMO</v>
      </c>
      <c r="O21" s="42" t="s">
        <v>124</v>
      </c>
      <c r="P21" s="37" t="s">
        <v>52</v>
      </c>
      <c r="Q21" s="39" t="s">
        <v>53</v>
      </c>
      <c r="R21" s="39" t="s">
        <v>53</v>
      </c>
      <c r="S21" s="48" t="s">
        <v>54</v>
      </c>
      <c r="T21" s="49">
        <f>IF(S21="Asignado",[7]Listas!$C$30,[7]Listas!$C$31)</f>
        <v>15</v>
      </c>
      <c r="U21" s="48" t="s">
        <v>55</v>
      </c>
      <c r="V21" s="49">
        <f>IF(U21="Adecuado",[7]Listas!$C$32,[7]Listas!$C$33)</f>
        <v>15</v>
      </c>
      <c r="W21" s="48" t="s">
        <v>56</v>
      </c>
      <c r="X21" s="49">
        <f>IF(W21="Oportuna",[7]Listas!$C$34,[7]Listas!$C$35)</f>
        <v>15</v>
      </c>
      <c r="Y21" s="48" t="s">
        <v>57</v>
      </c>
      <c r="Z21" s="49">
        <f>IF(Y21="Prevenir",[7]Listas!$C$36,IF(Y21="Detectar",[7]Listas!$C$37,[7]Listas!$C$38))</f>
        <v>15</v>
      </c>
      <c r="AA21" s="48" t="s">
        <v>58</v>
      </c>
      <c r="AB21" s="49">
        <f>IF(AA21="Confiable",[7]Listas!$C$39,[7]Listas!$C$40)</f>
        <v>15</v>
      </c>
      <c r="AC21" s="48" t="s">
        <v>59</v>
      </c>
      <c r="AD21" s="49">
        <f>IF(AC21="Se investigan y resuelven oportunamente",[7]Listas!$C$41,[7]Listas!$C$42)</f>
        <v>15</v>
      </c>
      <c r="AE21" s="48" t="s">
        <v>60</v>
      </c>
      <c r="AF21" s="49">
        <f>IF(AE21="Completa",[7]Listas!$C$43,IF(AE21="Incompleta",[7]Listas!$C$44,[7]Listas!$C$45))</f>
        <v>10</v>
      </c>
      <c r="AG21" s="37">
        <f t="shared" ref="AG21" si="16">T21+V21+X21+Z21+AB21+AD21+AF21</f>
        <v>100</v>
      </c>
      <c r="AH21" s="45">
        <f>AVERAGE(AG21:AG21)</f>
        <v>100</v>
      </c>
      <c r="AI21" s="44">
        <v>2</v>
      </c>
      <c r="AJ21" s="45">
        <v>4</v>
      </c>
      <c r="AK21" s="46">
        <f>AI21*AJ21</f>
        <v>8</v>
      </c>
      <c r="AL21" s="50" t="str">
        <f>IF(AND(AI21=1,AJ21=1),"BAJO",IF(AND(AI21=1,AJ21=2),"BAJO",IF(AND(AI21=2,AJ21=1),"BAJO",IF(AND(AI21=2,AJ21=2),"BAJO",IF(AND(AI21=3,AJ21=1),"BAJO",IF(AND(AI21=1,AJ21=3),"MODERADO",IF(AND(AI21=2,AJ21=3),"MODERADO",IF(AND(AI21=3,AJ21=2),"MODERADO",IF(AND(AI21=4,AJ21=1),"MODERADO",IF(AND(AI21=5,AJ21=1),"ALTO",IF(AND(AI21=4,AJ21=2),"ALTO",IF(AND(AI21=3,AJ21=3),"ALTO",IF(AND(AI21=2,AJ21=4),"ALTO",IF(AND(AI21=1,AJ21=4),"ALTO",IF(AND(AI21=5,AJ21=2),"ALTO",IF(AND(AI21=4,AJ21=3),"ALTO","EXTREMO"))))))))))))))))</f>
        <v>ALTO</v>
      </c>
      <c r="AM21" s="48" t="s">
        <v>61</v>
      </c>
      <c r="AN21" s="51" t="s">
        <v>125</v>
      </c>
      <c r="AO21" s="51" t="s">
        <v>126</v>
      </c>
      <c r="AP21" s="51" t="s">
        <v>127</v>
      </c>
      <c r="AQ21" s="52" t="s">
        <v>128</v>
      </c>
      <c r="AR21" s="51" t="s">
        <v>129</v>
      </c>
    </row>
    <row r="22" spans="1:45" s="28" customFormat="1" ht="112.5" customHeight="1" x14ac:dyDescent="0.25">
      <c r="A22" s="75" t="s">
        <v>235</v>
      </c>
      <c r="B22" s="37">
        <v>8</v>
      </c>
      <c r="C22" s="34"/>
      <c r="D22" s="15"/>
      <c r="E22" s="54"/>
      <c r="F22" s="54"/>
      <c r="G22" s="55" t="s">
        <v>130</v>
      </c>
      <c r="H22" s="56" t="s">
        <v>131</v>
      </c>
      <c r="I22" s="57" t="s">
        <v>132</v>
      </c>
      <c r="J22" s="58" t="s">
        <v>50</v>
      </c>
      <c r="K22" s="22">
        <v>2</v>
      </c>
      <c r="L22" s="14">
        <v>4</v>
      </c>
      <c r="M22" s="11">
        <f>K22*L22</f>
        <v>8</v>
      </c>
      <c r="N22" s="12" t="str">
        <f>IF(AND(K22=1,L22=1),"BAJO",IF(AND(K22=1,L22=2),"BAJO",IF(AND(K22=2,L22=1),"BAJO",IF(AND(K22=2,L22=2),"BAJO",IF(AND(K22=3,L22=1),"BAJO",IF(AND(K22=1,L22=3),"MODERADO",IF(AND(K22=2,L22=3),"MODERADO",IF(AND(K22=3,L22=2),"MODERADO",IF(AND(K22=4,L22=1),"MODERADO",IF(AND(K22=5,L22=1),"ALTO",IF(AND(K22=4,L22=2),"ALTO",IF(AND(K22=3,L22=3),"ALTO",IF(AND(K22=2,L22=4),"ALTO",IF(AND(K22=1,L22=4),"ALTO",IF(AND(K22=5,L22=2),"ALTO",IF(AND(K22=4,L22=3),"ALTO","EXTREMO"))))))))))))))))</f>
        <v>ALTO</v>
      </c>
      <c r="O22" s="57" t="s">
        <v>133</v>
      </c>
      <c r="P22" s="14" t="s">
        <v>52</v>
      </c>
      <c r="Q22" s="15" t="s">
        <v>53</v>
      </c>
      <c r="R22" s="15" t="s">
        <v>53</v>
      </c>
      <c r="S22" s="16" t="s">
        <v>54</v>
      </c>
      <c r="T22" s="17">
        <f>IF(S22="Asignado",[8]Listas!$C$30,[8]Listas!$C$31)</f>
        <v>15</v>
      </c>
      <c r="U22" s="16" t="s">
        <v>55</v>
      </c>
      <c r="V22" s="17">
        <f>IF(U22="Adecuado",[8]Listas!$C$32,[8]Listas!$C$33)</f>
        <v>15</v>
      </c>
      <c r="W22" s="16" t="s">
        <v>56</v>
      </c>
      <c r="X22" s="17">
        <f>IF(W22="Oportuna",[8]Listas!$C$34,[8]Listas!$C$35)</f>
        <v>15</v>
      </c>
      <c r="Y22" s="16" t="s">
        <v>57</v>
      </c>
      <c r="Z22" s="17">
        <f>IF(Y22="Prevenir",[8]Listas!$C$36,IF(Y22="Detectar",[8]Listas!$C$37,[8]Listas!$C$38))</f>
        <v>15</v>
      </c>
      <c r="AA22" s="16" t="s">
        <v>58</v>
      </c>
      <c r="AB22" s="17">
        <f>IF(AA22="Confiable",[8]Listas!$C$39,[8]Listas!$C$40)</f>
        <v>15</v>
      </c>
      <c r="AC22" s="16" t="s">
        <v>59</v>
      </c>
      <c r="AD22" s="17">
        <f>IF(AC22="Se investigan y resuelven oportunamente",[8]Listas!$C$41,[8]Listas!$C$42)</f>
        <v>15</v>
      </c>
      <c r="AE22" s="16" t="s">
        <v>60</v>
      </c>
      <c r="AF22" s="17">
        <f>IF(AE22="Completa",[8]Listas!$C$43,IF(AE22="Incompleta",[8]Listas!$C$44,[8]Listas!$C$45))</f>
        <v>10</v>
      </c>
      <c r="AG22" s="14">
        <f>T22+V22+X22+Z22+AB22+AD22+AF22</f>
        <v>100</v>
      </c>
      <c r="AH22" s="14">
        <f>AVERAGE(AG22:AG22)</f>
        <v>100</v>
      </c>
      <c r="AI22" s="23" t="str">
        <f>IF(AND(AH22&gt;=96,AH22&lt;=100),"FUERTE",IF(AND(AH22&gt;=86,AH22&lt;=95),"MODERADO","DEBIL"))</f>
        <v>FUERTE</v>
      </c>
      <c r="AJ22" s="22">
        <v>1</v>
      </c>
      <c r="AK22" s="14">
        <v>2</v>
      </c>
      <c r="AL22" s="11">
        <f>AJ22*AK22</f>
        <v>2</v>
      </c>
      <c r="AM22" s="24" t="str">
        <f>IF(AND(AJ22=1,AK22=1),"BAJO",IF(AND(AJ22=1,AK22=2),"BAJO",IF(AND(AJ22=2,AK22=1),"BAJO",IF(AND(AJ22=2,AK22=2),"BAJO",IF(AND(AJ22=3,AK22=1),"BAJO",IF(AND(AJ22=1,AK22=3),"MODERADO",IF(AND(AJ22=2,AK22=3),"MODERADO",IF(AND(AJ22=3,AK22=2),"MODERADO",IF(AND(AJ22=4,AK22=1),"MODERADO",IF(AND(AJ22=5,AK22=1),"ALTO",IF(AND(AJ22=4,AK22=2),"ALTO",IF(AND(AJ22=3,AK22=3),"ALTO",IF(AND(AJ22=2,AK22=4),"ALTO",IF(AND(AJ22=1,AK22=4),"ALTO",IF(AND(AJ22=5,AK22=2),"ALTO",IF(AND(AJ22=4,AK22=3),"ALTO","EXTREMO"))))))))))))))))</f>
        <v>BAJO</v>
      </c>
      <c r="AN22" s="17" t="s">
        <v>61</v>
      </c>
      <c r="AO22" s="20" t="s">
        <v>134</v>
      </c>
      <c r="AP22" s="20" t="s">
        <v>135</v>
      </c>
      <c r="AQ22" s="20" t="s">
        <v>136</v>
      </c>
      <c r="AR22" s="21" t="s">
        <v>137</v>
      </c>
      <c r="AS22" s="15" t="s">
        <v>138</v>
      </c>
    </row>
    <row r="23" spans="1:45" s="28" customFormat="1" ht="112.5" customHeight="1" x14ac:dyDescent="0.25">
      <c r="A23" s="79"/>
      <c r="B23" s="130">
        <v>9</v>
      </c>
      <c r="C23" s="53"/>
      <c r="D23" s="15" t="s">
        <v>46</v>
      </c>
      <c r="E23" s="15"/>
      <c r="F23" s="15"/>
      <c r="G23" s="59" t="s">
        <v>139</v>
      </c>
      <c r="H23" s="138" t="s">
        <v>140</v>
      </c>
      <c r="I23" s="138" t="s">
        <v>141</v>
      </c>
      <c r="J23" s="90" t="s">
        <v>50</v>
      </c>
      <c r="K23" s="106">
        <v>3</v>
      </c>
      <c r="L23" s="104">
        <v>5</v>
      </c>
      <c r="M23" s="109">
        <f>K23*L23</f>
        <v>15</v>
      </c>
      <c r="N23" s="140" t="str">
        <f>IF(AND(K23=1,L23=1),"BAJO",IF(AND(K23=1,L23=2),"BAJO",IF(AND(K23=2,L23=1),"BAJO",IF(AND(K23=2,L23=2),"BAJO",IF(AND(K23=3,L23=1),"BAJO",IF(AND(K23=1,L23=3),"MODERADO",IF(AND(K23=2,L23=3),"MODERADO",IF(AND(K23=3,L23=2),"MODERADO",IF(AND(K23=4,L23=1),"MODERADO",IF(AND(K23=5,L23=1),"ALTO",IF(AND(K23=4,L23=2),"ALTO",IF(AND(K23=3,L23=3),"ALTO",IF(AND(K23=2,L23=4),"ALTO",IF(AND(K23=1,L23=4),"ALTO",IF(AND(K23=5,L23=2),"ALTO",IF(AND(K23=4,L23=3),"ALTO","EXTREMO"))))))))))))))))</f>
        <v>EXTREMO</v>
      </c>
      <c r="O23" s="60" t="s">
        <v>142</v>
      </c>
      <c r="P23" s="14" t="s">
        <v>52</v>
      </c>
      <c r="Q23" s="15" t="s">
        <v>53</v>
      </c>
      <c r="R23" s="15" t="s">
        <v>100</v>
      </c>
      <c r="S23" s="16" t="s">
        <v>54</v>
      </c>
      <c r="T23" s="17">
        <f>IF(S23="Asignado",[9]Listas!$C$30,[9]Listas!$C$31)</f>
        <v>15</v>
      </c>
      <c r="U23" s="16" t="s">
        <v>55</v>
      </c>
      <c r="V23" s="17">
        <f>IF(U23="Adecuado",[9]Listas!$C$32,[9]Listas!$C$33)</f>
        <v>15</v>
      </c>
      <c r="W23" s="16" t="s">
        <v>56</v>
      </c>
      <c r="X23" s="17">
        <f>IF(W23="Oportuna",[9]Listas!$C$34,[9]Listas!$C$35)</f>
        <v>15</v>
      </c>
      <c r="Y23" s="16" t="s">
        <v>112</v>
      </c>
      <c r="Z23" s="17">
        <f>IF(Y23="Prevenir",[9]Listas!$C$36,IF(Y23="Detectar",[9]Listas!$C$37,[9]Listas!$C$38))</f>
        <v>0</v>
      </c>
      <c r="AA23" s="16" t="s">
        <v>58</v>
      </c>
      <c r="AB23" s="17">
        <f>IF(AA23="Confiable",[9]Listas!$C$39,[9]Listas!$C$40)</f>
        <v>15</v>
      </c>
      <c r="AC23" s="16" t="s">
        <v>114</v>
      </c>
      <c r="AD23" s="17">
        <f>IF(AC23="Se investigan y resuelven oportunamente",[9]Listas!$C$41,[9]Listas!$C$42)</f>
        <v>0</v>
      </c>
      <c r="AE23" s="16" t="s">
        <v>115</v>
      </c>
      <c r="AF23" s="17">
        <f>IF(AE23="Completa",[9]Listas!$C$43,IF(AE23="Incompleta",[9]Listas!$C$44,[9]Listas!$C$45))</f>
        <v>5</v>
      </c>
      <c r="AG23" s="14">
        <f>T23+V23+X23+Z23+AB23+AD23+AF23</f>
        <v>65</v>
      </c>
      <c r="AH23" s="104">
        <v>63</v>
      </c>
      <c r="AI23" s="23" t="e">
        <f>IF(AND(#REF!&gt;=96,#REF!&lt;=100),"FUERTE",IF(AND(#REF!&gt;=86,#REF!&lt;=95),"MODERADO","DEBIL"))</f>
        <v>#REF!</v>
      </c>
      <c r="AJ23" s="106">
        <v>3</v>
      </c>
      <c r="AK23" s="104">
        <v>5</v>
      </c>
      <c r="AL23" s="109">
        <f>AJ23*AK23</f>
        <v>15</v>
      </c>
      <c r="AM23" s="112" t="str">
        <f>IF(AND(AJ23=1,AK23=1),"BAJO",IF(AND(AJ23=1,AK23=2),"BAJO",IF(AND(AJ23=2,AK23=1),"BAJO",IF(AND(AJ23=2,AK23=2),"BAJO",IF(AND(AJ23=3,AK23=1),"BAJO",IF(AND(AJ23=1,AK23=3),"MODERADO",IF(AND(AJ23=2,AK23=3),"MODERADO",IF(AND(AJ23=3,AK23=2),"MODERADO",IF(AND(AJ23=4,AK23=1),"MODERADO",IF(AND(AJ23=5,AK23=1),"ALTO",IF(AND(AJ23=4,AK23=2),"ALTO",IF(AND(AJ23=3,AK23=3),"ALTO",IF(AND(AJ23=2,AK23=4),"ALTO",IF(AND(AJ23=1,AK23=4),"ALTO",IF(AND(AJ23=5,AK23=2),"ALTO",IF(AND(AJ23=4,AK23=3),"ALTO","EXTREMO"))))))))))))))))</f>
        <v>EXTREMO</v>
      </c>
      <c r="AN23" s="102" t="s">
        <v>61</v>
      </c>
      <c r="AO23" s="80" t="s">
        <v>143</v>
      </c>
      <c r="AP23" s="80" t="s">
        <v>144</v>
      </c>
      <c r="AQ23" s="80" t="s">
        <v>145</v>
      </c>
      <c r="AR23" s="134" t="s">
        <v>146</v>
      </c>
      <c r="AS23" s="80" t="s">
        <v>147</v>
      </c>
    </row>
    <row r="24" spans="1:45" s="1" customFormat="1" ht="71.25" customHeight="1" x14ac:dyDescent="0.25">
      <c r="A24" s="79"/>
      <c r="B24" s="136"/>
      <c r="C24" s="34"/>
      <c r="D24" s="15"/>
      <c r="E24" s="15"/>
      <c r="F24" s="15"/>
      <c r="G24" s="59" t="s">
        <v>148</v>
      </c>
      <c r="H24" s="139"/>
      <c r="I24" s="139"/>
      <c r="J24" s="91"/>
      <c r="K24" s="108"/>
      <c r="L24" s="105"/>
      <c r="M24" s="111"/>
      <c r="N24" s="141"/>
      <c r="O24" s="61" t="s">
        <v>149</v>
      </c>
      <c r="P24" s="14" t="s">
        <v>52</v>
      </c>
      <c r="Q24" s="15" t="s">
        <v>53</v>
      </c>
      <c r="R24" s="15" t="s">
        <v>53</v>
      </c>
      <c r="S24" s="16" t="s">
        <v>54</v>
      </c>
      <c r="T24" s="17">
        <f>IF(S24="Asignado",[9]Listas!$C$30,[9]Listas!$C$31)</f>
        <v>15</v>
      </c>
      <c r="U24" s="16" t="s">
        <v>55</v>
      </c>
      <c r="V24" s="17">
        <f>IF(U24="Adecuado",[9]Listas!$C$32,[9]Listas!$C$33)</f>
        <v>15</v>
      </c>
      <c r="W24" s="16" t="s">
        <v>56</v>
      </c>
      <c r="X24" s="17">
        <f>IF(W24="Oportuna",[9]Listas!$C$34,[9]Listas!$C$35)</f>
        <v>15</v>
      </c>
      <c r="Y24" s="16" t="s">
        <v>57</v>
      </c>
      <c r="Z24" s="17">
        <f>IF(Y24="Prevenir",[9]Listas!$C$36,IF(Y24="Detectar",[9]Listas!$C$37,[9]Listas!$C$38))</f>
        <v>15</v>
      </c>
      <c r="AA24" s="16" t="s">
        <v>113</v>
      </c>
      <c r="AB24" s="17">
        <f>IF(AA24="Confiable",[9]Listas!$C$39,[9]Listas!$C$40)</f>
        <v>0</v>
      </c>
      <c r="AC24" s="16" t="s">
        <v>114</v>
      </c>
      <c r="AD24" s="17">
        <f>IF(AC24="Se investigan y resuelven oportunamente",[9]Listas!$C$41,[9]Listas!$C$42)</f>
        <v>0</v>
      </c>
      <c r="AE24" s="16" t="s">
        <v>150</v>
      </c>
      <c r="AF24" s="17">
        <f>IF(AE24="Completa",[9]Listas!$C$43,IF(AE24="Incompleta",[9]Listas!$C$44,[9]Listas!$C$45))</f>
        <v>0</v>
      </c>
      <c r="AG24" s="14">
        <f>T24+V24+X24+Z24+AB24+AD24+AF24</f>
        <v>60</v>
      </c>
      <c r="AH24" s="105"/>
      <c r="AI24" s="23" t="str">
        <f>IF(AND(AH23&gt;=96,AH23&lt;=100),"FUERTE",IF(AND(AH23&gt;=86,AH23&lt;=95),"MODERADO","DEBIL"))</f>
        <v>DEBIL</v>
      </c>
      <c r="AJ24" s="108"/>
      <c r="AK24" s="105"/>
      <c r="AL24" s="111"/>
      <c r="AM24" s="114"/>
      <c r="AN24" s="103"/>
      <c r="AO24" s="124"/>
      <c r="AP24" s="124"/>
      <c r="AQ24" s="124"/>
      <c r="AR24" s="135"/>
      <c r="AS24" s="124"/>
    </row>
    <row r="25" spans="1:45" s="1" customFormat="1" ht="84" customHeight="1" x14ac:dyDescent="0.25">
      <c r="A25" s="75" t="s">
        <v>236</v>
      </c>
      <c r="B25" s="65">
        <v>10</v>
      </c>
      <c r="C25" s="34"/>
      <c r="D25" s="15" t="s">
        <v>46</v>
      </c>
      <c r="E25" s="15"/>
      <c r="F25" s="15"/>
      <c r="G25" s="59" t="s">
        <v>148</v>
      </c>
      <c r="H25" s="62" t="s">
        <v>151</v>
      </c>
      <c r="I25" s="63" t="s">
        <v>141</v>
      </c>
      <c r="J25" s="9" t="s">
        <v>50</v>
      </c>
      <c r="K25" s="10">
        <v>3</v>
      </c>
      <c r="L25" s="5">
        <v>4</v>
      </c>
      <c r="M25" s="11">
        <f>K25*L25</f>
        <v>12</v>
      </c>
      <c r="N25" s="12" t="str">
        <f>IF(AND(K25=1,L25=1),"BAJO",IF(AND(K25=1,L25=2),"BAJO",IF(AND(K25=2,L25=1),"BAJO",IF(AND(K25=2,L25=2),"BAJO",IF(AND(K25=3,L25=1),"BAJO",IF(AND(K25=1,L25=3),"MODERADO",IF(AND(K25=2,L25=3),"MODERADO",IF(AND(K25=3,L25=2),"MODERADO",IF(AND(K25=4,L25=1),"MODERADO",IF(AND(K25=5,L25=1),"ALTO",IF(AND(K25=4,L25=2),"ALTO",IF(AND(K25=3,L25=3),"ALTO",IF(AND(K25=2,L25=4),"ALTO",IF(AND(K25=1,L25=4),"ALTO",IF(AND(K25=5,L25=2),"ALTO",IF(AND(K25=4,L25=3),"ALTO","EXTREMO"))))))))))))))))</f>
        <v>EXTREMO</v>
      </c>
      <c r="O25" s="13" t="s">
        <v>152</v>
      </c>
      <c r="P25" s="14" t="s">
        <v>52</v>
      </c>
      <c r="Q25" s="15" t="s">
        <v>53</v>
      </c>
      <c r="R25" s="15" t="s">
        <v>53</v>
      </c>
      <c r="S25" s="16" t="s">
        <v>54</v>
      </c>
      <c r="T25" s="17">
        <f>IF(S25="Asignado",[9]Listas!$C$30,[9]Listas!$C$31)</f>
        <v>15</v>
      </c>
      <c r="U25" s="16" t="s">
        <v>55</v>
      </c>
      <c r="V25" s="17">
        <f>IF(U25="Adecuado",[9]Listas!$C$32,[9]Listas!$C$33)</f>
        <v>15</v>
      </c>
      <c r="W25" s="16" t="s">
        <v>56</v>
      </c>
      <c r="X25" s="17">
        <f>IF(W25="Oportuna",[9]Listas!$C$34,[9]Listas!$C$35)</f>
        <v>15</v>
      </c>
      <c r="Y25" s="16" t="s">
        <v>57</v>
      </c>
      <c r="Z25" s="17">
        <f>IF(Y25="Prevenir",[9]Listas!$C$36,IF(Y25="Detectar",[9]Listas!$C$37,[9]Listas!$C$38))</f>
        <v>15</v>
      </c>
      <c r="AA25" s="16" t="s">
        <v>58</v>
      </c>
      <c r="AB25" s="17">
        <f>IF(AA25="Confiable",[9]Listas!$C$39,[9]Listas!$C$40)</f>
        <v>15</v>
      </c>
      <c r="AC25" s="16" t="s">
        <v>59</v>
      </c>
      <c r="AD25" s="17">
        <f>IF(AC25="Se investigan y resuelven oportunamente",[9]Listas!$C$41,[9]Listas!$C$42)</f>
        <v>15</v>
      </c>
      <c r="AE25" s="16" t="s">
        <v>60</v>
      </c>
      <c r="AF25" s="17">
        <f>IF(AE25="Completa",[9]Listas!$C$43,IF(AE25="Incompleta",[9]Listas!$C$44,[9]Listas!$C$45))</f>
        <v>10</v>
      </c>
      <c r="AG25" s="14">
        <f>T25+V25+X25+Z25+AB25+AD25+AF25</f>
        <v>100</v>
      </c>
      <c r="AH25" s="5">
        <f>AVERAGE(AG25:AG25)</f>
        <v>100</v>
      </c>
      <c r="AI25" s="23" t="str">
        <f>IF(AND(AH25&gt;=96,AH25&lt;=100),"FUERTE",IF(AND(AH25&gt;=86,AH25&lt;=95),"MODERADO","DEBIL"))</f>
        <v>FUERTE</v>
      </c>
      <c r="AJ25" s="5">
        <v>2</v>
      </c>
      <c r="AK25" s="5">
        <v>2</v>
      </c>
      <c r="AL25" s="11">
        <f>AJ25*AK25</f>
        <v>4</v>
      </c>
      <c r="AM25" s="19" t="str">
        <f>IF(AND(AJ25=1,AK25=1),"BAJO",IF(AND(AJ25=1,AK25=2),"BAJO",IF(AND(AJ25=2,AK25=1),"BAJO",IF(AND(AJ25=2,AK25=2),"BAJO",IF(AND(AJ25=3,AK25=1),"BAJO",IF(AND(AJ25=1,AK25=3),"MODERADO",IF(AND(AJ25=2,AK25=3),"MODERADO",IF(AND(AJ25=3,AK25=2),"MODERADO",IF(AND(AJ25=4,AK25=1),"MODERADO",IF(AND(AJ25=5,AK25=1),"ALTO",IF(AND(AJ25=4,AK25=2),"ALTO",IF(AND(AJ25=3,AK25=3),"ALTO",IF(AND(AJ25=2,AK25=4),"ALTO",IF(AND(AJ25=1,AK25=4),"ALTO",IF(AND(AJ25=5,AK25=2),"ALTO",IF(AND(AJ25=4,AK25=3),"ALTO","EXTREMO"))))))))))))))))</f>
        <v>BAJO</v>
      </c>
      <c r="AN25" s="16"/>
      <c r="AO25" s="20" t="s">
        <v>153</v>
      </c>
      <c r="AP25" s="20" t="s">
        <v>154</v>
      </c>
      <c r="AQ25" s="20" t="s">
        <v>145</v>
      </c>
      <c r="AR25" s="21" t="s">
        <v>146</v>
      </c>
      <c r="AS25" s="20" t="s">
        <v>155</v>
      </c>
    </row>
    <row r="26" spans="1:45" s="1" customFormat="1" ht="85.5" customHeight="1" x14ac:dyDescent="0.25">
      <c r="A26" s="80" t="s">
        <v>237</v>
      </c>
      <c r="B26" s="130">
        <v>11</v>
      </c>
      <c r="C26" s="129" t="s">
        <v>45</v>
      </c>
      <c r="D26" s="15" t="s">
        <v>156</v>
      </c>
      <c r="E26" s="15"/>
      <c r="F26" s="15"/>
      <c r="G26" s="54" t="s">
        <v>157</v>
      </c>
      <c r="H26" s="129" t="s">
        <v>158</v>
      </c>
      <c r="I26" s="97" t="s">
        <v>159</v>
      </c>
      <c r="J26" s="99" t="s">
        <v>50</v>
      </c>
      <c r="K26" s="106">
        <v>3</v>
      </c>
      <c r="L26" s="101">
        <v>5</v>
      </c>
      <c r="M26" s="86">
        <f>K26*L26</f>
        <v>15</v>
      </c>
      <c r="N26" s="87" t="str">
        <f>IF(AND(K26=1,L26=1),"BAJO",IF(AND(K26=1,L26=2),"BAJO",IF(AND(K26=2,L26=1),"BAJO",IF(AND(K26=2,L26=2),"BAJO",IF(AND(K26=3,L26=1),"BAJO",IF(AND(K26=1,L26=3),"MODERADO",IF(AND(K26=2,L26=3),"MODERADO",IF(AND(K26=3,L26=2),"MODERADO",IF(AND(K26=4,L26=1),"MODERADO",IF(AND(K26=5,L26=1),"ALTO",IF(AND(K26=4,L26=2),"ALTO",IF(AND(K26=3,L26=3),"ALTO",IF(AND(K26=2,L26=4),"ALTO",IF(AND(K26=1,L26=4),"ALTO",IF(AND(K26=5,L26=2),"ALTO",IF(AND(K26=4,L26=3),"ALTO","EXTREMO"))))))))))))))))</f>
        <v>EXTREMO</v>
      </c>
      <c r="O26" s="20" t="s">
        <v>160</v>
      </c>
      <c r="P26" s="14" t="s">
        <v>52</v>
      </c>
      <c r="Q26" s="15" t="s">
        <v>100</v>
      </c>
      <c r="R26" s="15" t="s">
        <v>53</v>
      </c>
      <c r="S26" s="16" t="s">
        <v>54</v>
      </c>
      <c r="T26" s="17">
        <f>IF(S26="Asignado",[10]Listas!$C$30,[10]Listas!$C$31)</f>
        <v>15</v>
      </c>
      <c r="U26" s="16" t="s">
        <v>55</v>
      </c>
      <c r="V26" s="17">
        <f>IF(U26="Adecuado",[10]Listas!$C$32,[10]Listas!$C$33)</f>
        <v>15</v>
      </c>
      <c r="W26" s="16" t="s">
        <v>56</v>
      </c>
      <c r="X26" s="17">
        <f>IF(W26="Oportuna",[10]Listas!$C$34,[10]Listas!$C$35)</f>
        <v>15</v>
      </c>
      <c r="Y26" s="16" t="s">
        <v>57</v>
      </c>
      <c r="Z26" s="17">
        <f>IF(Y26="Prevenir",[10]Listas!$C$36,IF(Y26="Detectar",[10]Listas!$C$37,[10]Listas!$C$38))</f>
        <v>15</v>
      </c>
      <c r="AA26" s="16" t="s">
        <v>58</v>
      </c>
      <c r="AB26" s="17">
        <f>IF(AA26="Confiable",[10]Listas!$C$39,[10]Listas!$C$40)</f>
        <v>15</v>
      </c>
      <c r="AC26" s="16" t="s">
        <v>59</v>
      </c>
      <c r="AD26" s="17">
        <f>IF(AC26="Se investigan y resuelven oportunamente",[10]Listas!$C$41,[10]Listas!$C$42)</f>
        <v>15</v>
      </c>
      <c r="AE26" s="16" t="s">
        <v>60</v>
      </c>
      <c r="AF26" s="17">
        <f>IF(AE26="Completa",[10]Listas!$C$43,IF(AE26="Incompleta",[10]Listas!$C$44,[10]Listas!$C$45))</f>
        <v>10</v>
      </c>
      <c r="AG26" s="14">
        <f t="shared" ref="AG26:AG27" si="17">T26+V26+X26+Z26+AB26+AD26+AF26</f>
        <v>100</v>
      </c>
      <c r="AH26" s="101">
        <f>AVERAGE(AG26:AG27)</f>
        <v>100</v>
      </c>
      <c r="AI26" s="100">
        <v>1</v>
      </c>
      <c r="AJ26" s="101">
        <v>3</v>
      </c>
      <c r="AK26" s="109">
        <f>AI26*AJ26</f>
        <v>3</v>
      </c>
      <c r="AL26" s="87" t="str">
        <f>IF(AND(AI26=1,AJ26=1),"BAJO",IF(AND(AI26=1,AJ26=2),"BAJO",IF(AND(AI26=2,AJ26=1),"BAJO",IF(AND(AI26=2,AJ26=2),"BAJO",IF(AND(AI26=3,AJ26=1),"BAJO",IF(AND(AI26=1,AJ26=3),"MODERADO",IF(AND(AI26=2,AJ26=3),"MODERADO",IF(AND(AI26=3,AJ26=2),"MODERADO",IF(AND(AI26=4,AJ26=1),"MODERADO",IF(AND(AI26=5,AJ26=1),"ALTO",IF(AND(AI26=4,AJ26=2),"ALTO",IF(AND(AI26=3,AJ26=3),"ALTO",IF(AND(AI26=2,AJ26=4),"ALTO",IF(AND(AI26=1,AJ26=4),"ALTO",IF(AND(AI26=5,AJ26=2),"ALTO",IF(AND(AI26=4,AJ26=3),"ALTO","EXTREMO"))))))))))))))))</f>
        <v>MODERADO</v>
      </c>
      <c r="AM26" s="88" t="s">
        <v>87</v>
      </c>
      <c r="AN26" s="89" t="s">
        <v>161</v>
      </c>
      <c r="AO26" s="77" t="s">
        <v>162</v>
      </c>
      <c r="AP26" s="77" t="s">
        <v>163</v>
      </c>
      <c r="AQ26" s="127" t="s">
        <v>137</v>
      </c>
      <c r="AR26" s="77" t="s">
        <v>164</v>
      </c>
    </row>
    <row r="27" spans="1:45" s="1" customFormat="1" ht="57" customHeight="1" x14ac:dyDescent="0.25">
      <c r="A27" s="79"/>
      <c r="B27" s="136"/>
      <c r="C27" s="129"/>
      <c r="D27" s="15" t="s">
        <v>46</v>
      </c>
      <c r="E27" s="15"/>
      <c r="F27" s="15"/>
      <c r="G27" s="54" t="s">
        <v>165</v>
      </c>
      <c r="H27" s="129"/>
      <c r="I27" s="97"/>
      <c r="J27" s="99"/>
      <c r="K27" s="108"/>
      <c r="L27" s="101"/>
      <c r="M27" s="86"/>
      <c r="N27" s="87"/>
      <c r="O27" s="54" t="s">
        <v>166</v>
      </c>
      <c r="P27" s="14" t="s">
        <v>52</v>
      </c>
      <c r="Q27" s="15" t="s">
        <v>53</v>
      </c>
      <c r="R27" s="15" t="s">
        <v>86</v>
      </c>
      <c r="S27" s="16" t="s">
        <v>54</v>
      </c>
      <c r="T27" s="17">
        <f>IF(S27="Asignado",[10]Listas!$C$30,[10]Listas!$C$31)</f>
        <v>15</v>
      </c>
      <c r="U27" s="16" t="s">
        <v>55</v>
      </c>
      <c r="V27" s="17">
        <f>IF(U27="Adecuado",[10]Listas!$C$32,[10]Listas!$C$33)</f>
        <v>15</v>
      </c>
      <c r="W27" s="16" t="s">
        <v>56</v>
      </c>
      <c r="X27" s="17">
        <f>IF(W27="Oportuna",[10]Listas!$C$34,[10]Listas!$C$35)</f>
        <v>15</v>
      </c>
      <c r="Y27" s="16" t="s">
        <v>57</v>
      </c>
      <c r="Z27" s="17">
        <f>IF(Y27="Prevenir",[10]Listas!$C$36,IF(Y27="Detectar",[10]Listas!$C$37,[10]Listas!$C$38))</f>
        <v>15</v>
      </c>
      <c r="AA27" s="16" t="s">
        <v>58</v>
      </c>
      <c r="AB27" s="17">
        <f>IF(AA27="Confiable",[10]Listas!$C$39,[10]Listas!$C$40)</f>
        <v>15</v>
      </c>
      <c r="AC27" s="16" t="s">
        <v>59</v>
      </c>
      <c r="AD27" s="17">
        <f>IF(AC27="Se investigan y resuelven oportunamente",[10]Listas!$C$41,[10]Listas!$C$42)</f>
        <v>15</v>
      </c>
      <c r="AE27" s="16" t="s">
        <v>60</v>
      </c>
      <c r="AF27" s="17">
        <f>IF(AE27="Completa",[10]Listas!$C$43,IF(AE27="Incompleta",[10]Listas!$C$44,[10]Listas!$C$45))</f>
        <v>10</v>
      </c>
      <c r="AG27" s="14">
        <f t="shared" si="17"/>
        <v>100</v>
      </c>
      <c r="AH27" s="101"/>
      <c r="AI27" s="100"/>
      <c r="AJ27" s="101"/>
      <c r="AK27" s="111"/>
      <c r="AL27" s="87"/>
      <c r="AM27" s="88"/>
      <c r="AN27" s="89"/>
      <c r="AO27" s="77"/>
      <c r="AP27" s="77"/>
      <c r="AQ27" s="128"/>
      <c r="AR27" s="77"/>
    </row>
    <row r="28" spans="1:45" s="1" customFormat="1" ht="89.25" customHeight="1" x14ac:dyDescent="0.25">
      <c r="A28" s="79"/>
      <c r="B28" s="130">
        <v>12</v>
      </c>
      <c r="C28" s="88" t="s">
        <v>45</v>
      </c>
      <c r="D28" s="15" t="s">
        <v>81</v>
      </c>
      <c r="E28" s="15"/>
      <c r="F28" s="15"/>
      <c r="G28" s="54" t="s">
        <v>167</v>
      </c>
      <c r="H28" s="88" t="s">
        <v>168</v>
      </c>
      <c r="I28" s="98" t="s">
        <v>169</v>
      </c>
      <c r="J28" s="99" t="s">
        <v>50</v>
      </c>
      <c r="K28" s="100">
        <v>3</v>
      </c>
      <c r="L28" s="101">
        <v>5</v>
      </c>
      <c r="M28" s="86">
        <f t="shared" ref="M28" si="18">K28*L28</f>
        <v>15</v>
      </c>
      <c r="N28" s="87" t="str">
        <f t="shared" ref="N28" si="19">IF(AND(K28=1,L28=1),"BAJO",IF(AND(K28=1,L28=2),"BAJO",IF(AND(K28=2,L28=1),"BAJO",IF(AND(K28=2,L28=2),"BAJO",IF(AND(K28=3,L28=1),"BAJO",IF(AND(K28=1,L28=3),"MODERADO",IF(AND(K28=2,L28=3),"MODERADO",IF(AND(K28=3,L28=2),"MODERADO",IF(AND(K28=4,L28=1),"MODERADO",IF(AND(K28=5,L28=1),"ALTO",IF(AND(K28=4,L28=2),"ALTO",IF(AND(K28=3,L28=3),"ALTO",IF(AND(K28=2,L28=4),"ALTO",IF(AND(K28=1,L28=4),"ALTO",IF(AND(K28=5,L28=2),"ALTO",IF(AND(K28=4,L28=3),"ALTO","EXTREMO"))))))))))))))))</f>
        <v>EXTREMO</v>
      </c>
      <c r="O28" s="132" t="s">
        <v>170</v>
      </c>
      <c r="P28" s="104" t="s">
        <v>52</v>
      </c>
      <c r="Q28" s="80" t="s">
        <v>53</v>
      </c>
      <c r="R28" s="80" t="s">
        <v>86</v>
      </c>
      <c r="S28" s="102" t="s">
        <v>54</v>
      </c>
      <c r="T28" s="102">
        <f>IF(S28="Asignado",[10]Listas!$C$30,[10]Listas!$C$31)</f>
        <v>15</v>
      </c>
      <c r="U28" s="102" t="s">
        <v>55</v>
      </c>
      <c r="V28" s="102">
        <f>IF(U28="Adecuado",[10]Listas!$C$32,[10]Listas!$C$33)</f>
        <v>15</v>
      </c>
      <c r="W28" s="102" t="s">
        <v>56</v>
      </c>
      <c r="X28" s="102">
        <f>IF(W28="Oportuna",[10]Listas!$C$34,[10]Listas!$C$35)</f>
        <v>15</v>
      </c>
      <c r="Y28" s="102" t="s">
        <v>57</v>
      </c>
      <c r="Z28" s="102">
        <f>IF(Y28="Prevenir",[10]Listas!$C$36,IF(Y28="Detectar",[10]Listas!$C$37,[10]Listas!$C$38))</f>
        <v>15</v>
      </c>
      <c r="AA28" s="102" t="s">
        <v>58</v>
      </c>
      <c r="AB28" s="102">
        <f>IF(AA28="Confiable",[10]Listas!$C$39,[10]Listas!$C$40)</f>
        <v>15</v>
      </c>
      <c r="AC28" s="102" t="s">
        <v>59</v>
      </c>
      <c r="AD28" s="102">
        <f>IF(AC28="Se investigan y resuelven oportunamente",[10]Listas!$C$41,[10]Listas!$C$42)</f>
        <v>15</v>
      </c>
      <c r="AE28" s="102" t="s">
        <v>60</v>
      </c>
      <c r="AF28" s="102">
        <f>IF(AE28="Completa",[10]Listas!$C$43,IF(AE28="Incompleta",[10]Listas!$C$44,[10]Listas!$C$45))</f>
        <v>10</v>
      </c>
      <c r="AG28" s="104">
        <f>T28+V28+X28+Z28+AB28+AD28+AF28</f>
        <v>100</v>
      </c>
      <c r="AH28" s="101">
        <f>AVERAGE(AG28:AG29)</f>
        <v>100</v>
      </c>
      <c r="AI28" s="100">
        <v>1</v>
      </c>
      <c r="AJ28" s="101">
        <v>5</v>
      </c>
      <c r="AK28" s="109">
        <f>+AI28*AJ28</f>
        <v>5</v>
      </c>
      <c r="AL28" s="87" t="str">
        <f t="shared" ref="AL28" si="20">IF(AND(AI28=1,AJ28=1),"BAJO",IF(AND(AI28=1,AJ28=2),"BAJO",IF(AND(AI28=2,AJ28=1),"BAJO",IF(AND(AI28=2,AJ28=2),"BAJO",IF(AND(AI28=3,AJ28=1),"BAJO",IF(AND(AI28=1,AJ28=3),"MODERADO",IF(AND(AI28=2,AJ28=3),"MODERADO",IF(AND(AI28=3,AJ28=2),"MODERADO",IF(AND(AI28=4,AJ28=1),"MODERADO",IF(AND(AI28=5,AJ28=1),"ALTO",IF(AND(AI28=4,AJ28=2),"ALTO",IF(AND(AI28=3,AJ28=3),"ALTO",IF(AND(AI28=2,AJ28=4),"ALTO",IF(AND(AI28=1,AJ28=4),"ALTO",IF(AND(AI28=5,AJ28=2),"ALTO",IF(AND(AI28=4,AJ28=3),"ALTO","EXTREMO"))))))))))))))))</f>
        <v>EXTREMO</v>
      </c>
      <c r="AM28" s="88" t="s">
        <v>87</v>
      </c>
      <c r="AN28" s="89" t="s">
        <v>171</v>
      </c>
      <c r="AO28" s="77" t="s">
        <v>172</v>
      </c>
      <c r="AP28" s="77" t="s">
        <v>163</v>
      </c>
      <c r="AQ28" s="127" t="s">
        <v>137</v>
      </c>
      <c r="AR28" s="77" t="s">
        <v>173</v>
      </c>
    </row>
    <row r="29" spans="1:45" s="1" customFormat="1" ht="45" customHeight="1" x14ac:dyDescent="0.25">
      <c r="A29" s="79"/>
      <c r="B29" s="131"/>
      <c r="C29" s="88"/>
      <c r="D29" s="15" t="s">
        <v>156</v>
      </c>
      <c r="E29" s="15" t="s">
        <v>174</v>
      </c>
      <c r="F29" s="15"/>
      <c r="G29" s="54" t="s">
        <v>175</v>
      </c>
      <c r="H29" s="88"/>
      <c r="I29" s="98"/>
      <c r="J29" s="99"/>
      <c r="K29" s="100"/>
      <c r="L29" s="101"/>
      <c r="M29" s="86"/>
      <c r="N29" s="87"/>
      <c r="O29" s="133"/>
      <c r="P29" s="105"/>
      <c r="Q29" s="124"/>
      <c r="R29" s="124"/>
      <c r="S29" s="103"/>
      <c r="T29" s="103"/>
      <c r="U29" s="103"/>
      <c r="V29" s="103"/>
      <c r="W29" s="103"/>
      <c r="X29" s="103"/>
      <c r="Y29" s="103"/>
      <c r="Z29" s="103"/>
      <c r="AA29" s="103"/>
      <c r="AB29" s="103"/>
      <c r="AC29" s="103"/>
      <c r="AD29" s="103"/>
      <c r="AE29" s="103"/>
      <c r="AF29" s="103"/>
      <c r="AG29" s="105"/>
      <c r="AH29" s="101"/>
      <c r="AI29" s="100"/>
      <c r="AJ29" s="101"/>
      <c r="AK29" s="111"/>
      <c r="AL29" s="87"/>
      <c r="AM29" s="88"/>
      <c r="AN29" s="89"/>
      <c r="AO29" s="77"/>
      <c r="AP29" s="77"/>
      <c r="AQ29" s="128"/>
      <c r="AR29" s="77"/>
    </row>
    <row r="30" spans="1:45" s="1" customFormat="1" ht="57" customHeight="1" x14ac:dyDescent="0.25">
      <c r="A30" s="81" t="s">
        <v>238</v>
      </c>
      <c r="B30" s="94">
        <v>13</v>
      </c>
      <c r="C30" s="129" t="s">
        <v>45</v>
      </c>
      <c r="D30" s="15" t="s">
        <v>46</v>
      </c>
      <c r="E30" s="15"/>
      <c r="F30" s="15" t="s">
        <v>176</v>
      </c>
      <c r="G30" s="54" t="s">
        <v>177</v>
      </c>
      <c r="H30" s="88" t="s">
        <v>178</v>
      </c>
      <c r="I30" s="97" t="s">
        <v>179</v>
      </c>
      <c r="J30" s="99" t="s">
        <v>50</v>
      </c>
      <c r="K30" s="100">
        <v>1</v>
      </c>
      <c r="L30" s="101">
        <v>4</v>
      </c>
      <c r="M30" s="86">
        <f t="shared" ref="M30" si="21">K30*L30</f>
        <v>4</v>
      </c>
      <c r="N30" s="87" t="str">
        <f t="shared" ref="N30" si="22">IF(AND(K30=1,L30=1),"BAJO",IF(AND(K30=1,L30=2),"BAJO",IF(AND(K30=2,L30=1),"BAJO",IF(AND(K30=2,L30=2),"BAJO",IF(AND(K30=3,L30=1),"BAJO",IF(AND(K30=1,L30=3),"MODERADO",IF(AND(K30=2,L30=3),"MODERADO",IF(AND(K30=3,L30=2),"MODERADO",IF(AND(K30=4,L30=1),"MODERADO",IF(AND(K30=5,L30=1),"ALTO",IF(AND(K30=4,L30=2),"ALTO",IF(AND(K30=3,L30=3),"ALTO",IF(AND(K30=2,L30=4),"ALTO",IF(AND(K30=1,L30=4),"ALTO",IF(AND(K30=5,L30=2),"ALTO",IF(AND(K30=4,L30=3),"ALTO","EXTREMO"))))))))))))))))</f>
        <v>ALTO</v>
      </c>
      <c r="O30" s="80" t="s">
        <v>180</v>
      </c>
      <c r="P30" s="14" t="s">
        <v>52</v>
      </c>
      <c r="Q30" s="15" t="s">
        <v>53</v>
      </c>
      <c r="R30" s="15" t="s">
        <v>100</v>
      </c>
      <c r="S30" s="16" t="s">
        <v>54</v>
      </c>
      <c r="T30" s="17">
        <f>IF(S30="Asignado",[11]Listas!$C$30,[11]Listas!$C$31)</f>
        <v>15</v>
      </c>
      <c r="U30" s="16" t="s">
        <v>55</v>
      </c>
      <c r="V30" s="17">
        <f>IF(U30="Adecuado",[11]Listas!$C$32,[11]Listas!$C$33)</f>
        <v>15</v>
      </c>
      <c r="W30" s="16" t="s">
        <v>56</v>
      </c>
      <c r="X30" s="17">
        <f>IF(W30="Oportuna",[11]Listas!$C$34,[11]Listas!$C$35)</f>
        <v>15</v>
      </c>
      <c r="Y30" s="16" t="s">
        <v>57</v>
      </c>
      <c r="Z30" s="17">
        <f>IF(Y30="Prevenir",[11]Listas!$C$36,IF(Y30="Detectar",[11]Listas!$C$37,[11]Listas!$C$38))</f>
        <v>15</v>
      </c>
      <c r="AA30" s="16" t="s">
        <v>58</v>
      </c>
      <c r="AB30" s="17">
        <f>IF(AA30="Confiable",[11]Listas!$C$39,[11]Listas!$C$40)</f>
        <v>15</v>
      </c>
      <c r="AC30" s="16" t="s">
        <v>114</v>
      </c>
      <c r="AD30" s="17">
        <f>IF(AC30="Se investigan y resuelven oportunamente",[11]Listas!$C$41,[11]Listas!$C$42)</f>
        <v>0</v>
      </c>
      <c r="AE30" s="16" t="s">
        <v>60</v>
      </c>
      <c r="AF30" s="17">
        <f>IF(AE30="Completa",[11]Listas!$C$43,IF(AE30="Incompleta",[11]Listas!$C$44,[11]Listas!$C$45))</f>
        <v>10</v>
      </c>
      <c r="AG30" s="104">
        <f t="shared" ref="AG30" si="23">T30+V30+X30+Z30+AB30+AD30+AF30</f>
        <v>85</v>
      </c>
      <c r="AH30" s="101">
        <f>AVERAGE(AG30:AG34)</f>
        <v>85</v>
      </c>
      <c r="AI30" s="100">
        <v>1</v>
      </c>
      <c r="AJ30" s="101">
        <v>4</v>
      </c>
      <c r="AK30" s="86">
        <f>+AI30*AJ30</f>
        <v>4</v>
      </c>
      <c r="AL30" s="87" t="str">
        <f t="shared" ref="AL30" si="24">IF(AND(AI30=1,AJ30=1),"BAJO",IF(AND(AI30=1,AJ30=2),"BAJO",IF(AND(AI30=2,AJ30=1),"BAJO",IF(AND(AI30=2,AJ30=2),"BAJO",IF(AND(AI30=3,AJ30=1),"BAJO",IF(AND(AI30=1,AJ30=3),"MODERADO",IF(AND(AI30=2,AJ30=3),"MODERADO",IF(AND(AI30=3,AJ30=2),"MODERADO",IF(AND(AI30=4,AJ30=1),"MODERADO",IF(AND(AI30=5,AJ30=1),"ALTO",IF(AND(AI30=4,AJ30=2),"ALTO",IF(AND(AI30=3,AJ30=3),"ALTO",IF(AND(AI30=2,AJ30=4),"ALTO",IF(AND(AI30=1,AJ30=4),"ALTO",IF(AND(AI30=5,AJ30=2),"ALTO",IF(AND(AI30=4,AJ30=3),"ALTO","EXTREMO"))))))))))))))))</f>
        <v>ALTO</v>
      </c>
      <c r="AM30" s="88" t="s">
        <v>61</v>
      </c>
      <c r="AN30" s="89" t="s">
        <v>181</v>
      </c>
      <c r="AO30" s="77" t="s">
        <v>182</v>
      </c>
      <c r="AP30" s="101" t="s">
        <v>183</v>
      </c>
      <c r="AQ30" s="101" t="s">
        <v>184</v>
      </c>
      <c r="AR30" s="77" t="s">
        <v>185</v>
      </c>
    </row>
    <row r="31" spans="1:45" s="1" customFormat="1" ht="99.75" x14ac:dyDescent="0.25">
      <c r="A31" s="82"/>
      <c r="B31" s="95"/>
      <c r="C31" s="129"/>
      <c r="D31" s="15" t="s">
        <v>46</v>
      </c>
      <c r="E31" s="15"/>
      <c r="F31" s="15"/>
      <c r="G31" s="54" t="s">
        <v>186</v>
      </c>
      <c r="H31" s="88"/>
      <c r="I31" s="97"/>
      <c r="J31" s="99"/>
      <c r="K31" s="100"/>
      <c r="L31" s="101"/>
      <c r="M31" s="86"/>
      <c r="N31" s="87"/>
      <c r="O31" s="79"/>
      <c r="P31" s="14"/>
      <c r="Q31" s="15"/>
      <c r="R31" s="15"/>
      <c r="S31" s="16"/>
      <c r="T31" s="17">
        <f>IF(S31="Asignado",[11]Listas!$C$30,[11]Listas!$C$31)</f>
        <v>0</v>
      </c>
      <c r="U31" s="16"/>
      <c r="V31" s="17">
        <f>IF(U31="Adecuado",[11]Listas!$C$32,[11]Listas!$C$33)</f>
        <v>0</v>
      </c>
      <c r="W31" s="16"/>
      <c r="X31" s="17">
        <f>IF(W31="Oportuna",[11]Listas!$C$34,[11]Listas!$C$35)</f>
        <v>0</v>
      </c>
      <c r="Y31" s="16"/>
      <c r="Z31" s="17">
        <f>IF(Y31="Prevenir",[11]Listas!$C$36,IF(Y31="Detectar",[11]Listas!$C$37,[11]Listas!$C$38))</f>
        <v>0</v>
      </c>
      <c r="AA31" s="16"/>
      <c r="AB31" s="17">
        <f>IF(AA31="Confiable",[11]Listas!$C$39,[11]Listas!$C$40)</f>
        <v>0</v>
      </c>
      <c r="AC31" s="16"/>
      <c r="AD31" s="17">
        <f>IF(AC31="Se investigan y resuelven oportunamente",[11]Listas!$C$41,[11]Listas!$C$42)</f>
        <v>0</v>
      </c>
      <c r="AE31" s="16"/>
      <c r="AF31" s="17">
        <f>IF(AE31="Completa",[11]Listas!$C$43,IF(AE31="Incompleta",[11]Listas!$C$44,[11]Listas!$C$45))</f>
        <v>0</v>
      </c>
      <c r="AG31" s="78"/>
      <c r="AH31" s="101"/>
      <c r="AI31" s="100"/>
      <c r="AJ31" s="101"/>
      <c r="AK31" s="86"/>
      <c r="AL31" s="87"/>
      <c r="AM31" s="88"/>
      <c r="AN31" s="89"/>
      <c r="AO31" s="101"/>
      <c r="AP31" s="101"/>
      <c r="AQ31" s="101"/>
      <c r="AR31" s="77"/>
    </row>
    <row r="32" spans="1:45" s="1" customFormat="1" ht="28.5" x14ac:dyDescent="0.25">
      <c r="A32" s="82"/>
      <c r="B32" s="95"/>
      <c r="C32" s="129"/>
      <c r="D32" s="15" t="s">
        <v>46</v>
      </c>
      <c r="E32" s="15"/>
      <c r="F32" s="15"/>
      <c r="G32" s="54" t="s">
        <v>187</v>
      </c>
      <c r="H32" s="88"/>
      <c r="I32" s="97"/>
      <c r="J32" s="99"/>
      <c r="K32" s="100"/>
      <c r="L32" s="101"/>
      <c r="M32" s="86"/>
      <c r="N32" s="87"/>
      <c r="O32" s="79"/>
      <c r="P32" s="14"/>
      <c r="Q32" s="15"/>
      <c r="R32" s="15"/>
      <c r="S32" s="16"/>
      <c r="T32" s="17">
        <f>IF(S32="Asignado",[11]Listas!$C$30,[11]Listas!$C$31)</f>
        <v>0</v>
      </c>
      <c r="U32" s="16"/>
      <c r="V32" s="17">
        <f>IF(U32="Adecuado",[11]Listas!$C$32,[11]Listas!$C$33)</f>
        <v>0</v>
      </c>
      <c r="W32" s="16"/>
      <c r="X32" s="17">
        <f>IF(W32="Oportuna",[11]Listas!$C$34,[11]Listas!$C$35)</f>
        <v>0</v>
      </c>
      <c r="Y32" s="16"/>
      <c r="Z32" s="17">
        <f>IF(Y32="Prevenir",[11]Listas!$C$36,IF(Y32="Detectar",[11]Listas!$C$37,[11]Listas!$C$38))</f>
        <v>0</v>
      </c>
      <c r="AA32" s="16"/>
      <c r="AB32" s="17">
        <f>IF(AA32="Confiable",[11]Listas!$C$39,[11]Listas!$C$40)</f>
        <v>0</v>
      </c>
      <c r="AC32" s="16"/>
      <c r="AD32" s="17">
        <f>IF(AC32="Se investigan y resuelven oportunamente",[11]Listas!$C$41,[11]Listas!$C$42)</f>
        <v>0</v>
      </c>
      <c r="AE32" s="16"/>
      <c r="AF32" s="17">
        <f>IF(AE32="Completa",[11]Listas!$C$43,IF(AE32="Incompleta",[11]Listas!$C$44,[11]Listas!$C$45))</f>
        <v>0</v>
      </c>
      <c r="AG32" s="78"/>
      <c r="AH32" s="101"/>
      <c r="AI32" s="100"/>
      <c r="AJ32" s="101"/>
      <c r="AK32" s="86"/>
      <c r="AL32" s="87"/>
      <c r="AM32" s="88"/>
      <c r="AN32" s="89"/>
      <c r="AO32" s="101"/>
      <c r="AP32" s="101"/>
      <c r="AQ32" s="101"/>
      <c r="AR32" s="77"/>
    </row>
    <row r="33" spans="1:45" s="1" customFormat="1" ht="71.25" x14ac:dyDescent="0.25">
      <c r="A33" s="82"/>
      <c r="B33" s="95"/>
      <c r="C33" s="129"/>
      <c r="D33" s="15" t="s">
        <v>46</v>
      </c>
      <c r="E33" s="15"/>
      <c r="F33" s="15"/>
      <c r="G33" s="64" t="s">
        <v>188</v>
      </c>
      <c r="H33" s="88"/>
      <c r="I33" s="97"/>
      <c r="J33" s="99"/>
      <c r="K33" s="100"/>
      <c r="L33" s="101"/>
      <c r="M33" s="86"/>
      <c r="N33" s="87"/>
      <c r="O33" s="79"/>
      <c r="P33" s="14"/>
      <c r="Q33" s="15"/>
      <c r="R33" s="15"/>
      <c r="S33" s="16"/>
      <c r="T33" s="17">
        <f>IF(S33="Asignado",[11]Listas!$C$30,[11]Listas!$C$31)</f>
        <v>0</v>
      </c>
      <c r="U33" s="16"/>
      <c r="V33" s="17">
        <f>IF(U33="Adecuado",[11]Listas!$C$32,[11]Listas!$C$33)</f>
        <v>0</v>
      </c>
      <c r="W33" s="16"/>
      <c r="X33" s="17">
        <f>IF(W33="Oportuna",[11]Listas!$C$34,[11]Listas!$C$35)</f>
        <v>0</v>
      </c>
      <c r="Y33" s="16"/>
      <c r="Z33" s="17">
        <f>IF(Y33="Prevenir",[11]Listas!$C$36,IF(Y33="Detectar",[11]Listas!$C$37,[11]Listas!$C$38))</f>
        <v>0</v>
      </c>
      <c r="AA33" s="16"/>
      <c r="AB33" s="17">
        <f>IF(AA33="Confiable",[11]Listas!$C$39,[11]Listas!$C$40)</f>
        <v>0</v>
      </c>
      <c r="AC33" s="16"/>
      <c r="AD33" s="17">
        <f>IF(AC33="Se investigan y resuelven oportunamente",[11]Listas!$C$41,[11]Listas!$C$42)</f>
        <v>0</v>
      </c>
      <c r="AE33" s="16"/>
      <c r="AF33" s="17">
        <f>IF(AE33="Completa",[11]Listas!$C$43,IF(AE33="Incompleta",[11]Listas!$C$44,[11]Listas!$C$45))</f>
        <v>0</v>
      </c>
      <c r="AG33" s="78"/>
      <c r="AH33" s="101"/>
      <c r="AI33" s="100"/>
      <c r="AJ33" s="101"/>
      <c r="AK33" s="86"/>
      <c r="AL33" s="87"/>
      <c r="AM33" s="88"/>
      <c r="AN33" s="89"/>
      <c r="AO33" s="101"/>
      <c r="AP33" s="101"/>
      <c r="AQ33" s="101"/>
      <c r="AR33" s="77"/>
    </row>
    <row r="34" spans="1:45" s="1" customFormat="1" ht="15" customHeight="1" x14ac:dyDescent="0.25">
      <c r="A34" s="75"/>
      <c r="B34" s="95"/>
      <c r="C34" s="129"/>
      <c r="D34" s="15"/>
      <c r="E34" s="15"/>
      <c r="F34" s="15"/>
      <c r="G34" s="64"/>
      <c r="H34" s="88"/>
      <c r="I34" s="97"/>
      <c r="J34" s="99"/>
      <c r="K34" s="100"/>
      <c r="L34" s="101"/>
      <c r="M34" s="86"/>
      <c r="N34" s="87"/>
      <c r="O34" s="124"/>
      <c r="P34" s="14"/>
      <c r="Q34" s="15"/>
      <c r="R34" s="15"/>
      <c r="S34" s="16"/>
      <c r="T34" s="17">
        <f>IF(S34="Asignado",[11]Listas!$C$30,[11]Listas!$C$31)</f>
        <v>0</v>
      </c>
      <c r="U34" s="16"/>
      <c r="V34" s="17">
        <f>IF(U34="Adecuado",[11]Listas!$C$32,[11]Listas!$C$33)</f>
        <v>0</v>
      </c>
      <c r="W34" s="16"/>
      <c r="X34" s="17">
        <f>IF(W34="Oportuna",[11]Listas!$C$34,[11]Listas!$C$35)</f>
        <v>0</v>
      </c>
      <c r="Y34" s="16"/>
      <c r="Z34" s="17">
        <f>IF(Y34="Prevenir",[11]Listas!$C$36,IF(Y34="Detectar",[11]Listas!$C$37,[11]Listas!$C$38))</f>
        <v>0</v>
      </c>
      <c r="AA34" s="16"/>
      <c r="AB34" s="17">
        <f>IF(AA34="Confiable",[11]Listas!$C$39,[11]Listas!$C$40)</f>
        <v>0</v>
      </c>
      <c r="AC34" s="16"/>
      <c r="AD34" s="17">
        <f>IF(AC34="Se investigan y resuelven oportunamente",[11]Listas!$C$41,[11]Listas!$C$42)</f>
        <v>0</v>
      </c>
      <c r="AE34" s="16"/>
      <c r="AF34" s="17">
        <f>IF(AE34="Completa",[11]Listas!$C$43,IF(AE34="Incompleta",[11]Listas!$C$44,[11]Listas!$C$45))</f>
        <v>0</v>
      </c>
      <c r="AG34" s="105"/>
      <c r="AH34" s="101"/>
      <c r="AI34" s="100"/>
      <c r="AJ34" s="101"/>
      <c r="AK34" s="86"/>
      <c r="AL34" s="87"/>
      <c r="AM34" s="88"/>
      <c r="AN34" s="89"/>
      <c r="AO34" s="101"/>
      <c r="AP34" s="101"/>
      <c r="AQ34" s="101"/>
      <c r="AR34" s="77"/>
    </row>
    <row r="35" spans="1:45" s="1" customFormat="1" ht="242.25" x14ac:dyDescent="0.25">
      <c r="A35" s="82" t="s">
        <v>239</v>
      </c>
      <c r="B35" s="95"/>
      <c r="C35" s="125"/>
      <c r="D35" s="66" t="s">
        <v>81</v>
      </c>
      <c r="E35" s="66"/>
      <c r="F35" s="66" t="s">
        <v>189</v>
      </c>
      <c r="G35" s="66" t="s">
        <v>190</v>
      </c>
      <c r="H35" s="66" t="s">
        <v>191</v>
      </c>
      <c r="I35" s="66" t="s">
        <v>192</v>
      </c>
      <c r="J35" s="90" t="s">
        <v>50</v>
      </c>
      <c r="K35" s="106">
        <v>3</v>
      </c>
      <c r="L35" s="104">
        <v>4</v>
      </c>
      <c r="M35" s="109">
        <f t="shared" ref="M35" si="25">K35*L35</f>
        <v>12</v>
      </c>
      <c r="N35" s="116" t="str">
        <f t="shared" ref="N35" si="26">IF(AND(K35=1,L35=1),"BAJO",IF(AND(K35=1,L35=2),"BAJO",IF(AND(K35=2,L35=1),"BAJO",IF(AND(K35=2,L35=2),"BAJO",IF(AND(K35=3,L35=1),"BAJO",IF(AND(K35=1,L35=3),"MODERADO",IF(AND(K35=2,L35=3),"MODERADO",IF(AND(K35=3,L35=2),"MODERADO",IF(AND(K35=4,L35=1),"MODERADO",IF(AND(K35=5,L35=1),"ALTO",IF(AND(K35=4,L35=2),"ALTO",IF(AND(K35=3,L35=3),"ALTO",IF(AND(K35=2,L35=4),"ALTO",IF(AND(K35=1,L35=4),"ALTO",IF(AND(K35=5,L35=2),"ALTO",IF(AND(K35=4,L35=3),"ALTO","EXTREMO"))))))))))))))))</f>
        <v>EXTREMO</v>
      </c>
      <c r="O35" s="16" t="s">
        <v>193</v>
      </c>
      <c r="P35" s="14" t="s">
        <v>52</v>
      </c>
      <c r="Q35" s="15" t="s">
        <v>53</v>
      </c>
      <c r="R35" s="15" t="s">
        <v>53</v>
      </c>
      <c r="S35" s="16" t="s">
        <v>54</v>
      </c>
      <c r="T35" s="17">
        <f>IF(S35="Asignado",[12]Listas!$C$30,[12]Listas!$C$31)</f>
        <v>15</v>
      </c>
      <c r="U35" s="16" t="s">
        <v>55</v>
      </c>
      <c r="V35" s="17">
        <f>IF(U35="Adecuado",[12]Listas!$C$32,[12]Listas!$C$33)</f>
        <v>15</v>
      </c>
      <c r="W35" s="16" t="s">
        <v>56</v>
      </c>
      <c r="X35" s="17">
        <f>IF(W35="Oportuna",[12]Listas!$C$34,[12]Listas!$C$35)</f>
        <v>15</v>
      </c>
      <c r="Y35" s="16" t="s">
        <v>57</v>
      </c>
      <c r="Z35" s="17">
        <f>IF(Y35="Prevenir",[12]Listas!$C$36,IF(Y35="Detectar",[12]Listas!$C$37,[12]Listas!$C$38))</f>
        <v>15</v>
      </c>
      <c r="AA35" s="16" t="s">
        <v>58</v>
      </c>
      <c r="AB35" s="17">
        <f>IF(AA35="Confiable",[12]Listas!$C$39,[12]Listas!$C$40)</f>
        <v>15</v>
      </c>
      <c r="AC35" s="16" t="s">
        <v>114</v>
      </c>
      <c r="AD35" s="17">
        <f>IF(AC35="Se investigan y resuelven oportunamente",[12]Listas!$C$41,[12]Listas!$C$42)</f>
        <v>0</v>
      </c>
      <c r="AE35" s="16" t="s">
        <v>60</v>
      </c>
      <c r="AF35" s="17">
        <f>IF(AE35="Completa",[12]Listas!$C$43,IF(AE35="Incompleta",[12]Listas!$C$44,[12]Listas!$C$45))</f>
        <v>10</v>
      </c>
      <c r="AG35" s="14">
        <f t="shared" ref="AG35:AG37" si="27">T35+V35+X35+Z35+AB35+AD35+AF35</f>
        <v>85</v>
      </c>
      <c r="AH35" s="119">
        <f>AVERAGE(AG35:AG38)</f>
        <v>91.666666666666671</v>
      </c>
      <c r="AI35" s="106">
        <v>1</v>
      </c>
      <c r="AJ35" s="106">
        <v>1</v>
      </c>
      <c r="AK35" s="104">
        <v>3</v>
      </c>
      <c r="AL35" s="109">
        <f>+AJ35*AK35</f>
        <v>3</v>
      </c>
      <c r="AM35" s="112" t="str">
        <f>IF(AND(AJ35=1,AK35=1),"BAJO",IF(AND(AJ35=1,AK35=2),"BAJO",IF(AND(AJ35=2,AK35=1),"BAJO",IF(AND(AJ35=2,AK35=2),"BAJO",IF(AND(AJ35=3,AK35=1),"BAJO",IF(AND(AJ35=1,AK35=3),"MODERADO",IF(AND(AJ35=2,AK35=3),"MODERADO",IF(AND(AJ35=3,AK35=2),"MODERADO",IF(AND(AJ35=4,AK35=1),"MODERADO",IF(AND(AJ35=5,AK35=1),"ALTO",IF(AND(AJ35=4,AK35=2),"ALTO",IF(AND(AJ35=3,AK35=3),"ALTO",IF(AND(AJ35=2,AK35=4),"ALTO",IF(AND(AJ35=1,AK35=4),"ALTO",IF(AND(AJ35=5,AK35=2),"ALTO",IF(AND(AJ35=4,AK35=3),"ALTO","EXTREMO"))))))))))))))))</f>
        <v>MODERADO</v>
      </c>
      <c r="AN35" s="102" t="s">
        <v>87</v>
      </c>
      <c r="AO35" s="9" t="s">
        <v>194</v>
      </c>
      <c r="AP35" s="9" t="s">
        <v>195</v>
      </c>
      <c r="AQ35" s="9" t="s">
        <v>196</v>
      </c>
      <c r="AR35" s="67" t="s">
        <v>197</v>
      </c>
      <c r="AS35" s="9" t="s">
        <v>198</v>
      </c>
    </row>
    <row r="36" spans="1:45" s="1" customFormat="1" ht="242.25" x14ac:dyDescent="0.25">
      <c r="A36" s="82"/>
      <c r="B36" s="95"/>
      <c r="C36" s="125"/>
      <c r="D36" s="66" t="s">
        <v>46</v>
      </c>
      <c r="E36" s="66"/>
      <c r="F36" s="66" t="s">
        <v>199</v>
      </c>
      <c r="G36" s="66" t="s">
        <v>200</v>
      </c>
      <c r="H36" s="66"/>
      <c r="I36" s="66" t="s">
        <v>201</v>
      </c>
      <c r="J36" s="126"/>
      <c r="K36" s="107"/>
      <c r="L36" s="78"/>
      <c r="M36" s="110"/>
      <c r="N36" s="117"/>
      <c r="O36" s="16" t="s">
        <v>202</v>
      </c>
      <c r="P36" s="14" t="s">
        <v>110</v>
      </c>
      <c r="Q36" s="15" t="s">
        <v>53</v>
      </c>
      <c r="R36" s="15" t="s">
        <v>100</v>
      </c>
      <c r="S36" s="16" t="s">
        <v>54</v>
      </c>
      <c r="T36" s="17">
        <f>IF(S36="Asignado",[12]Listas!$C$30,[12]Listas!$C$31)</f>
        <v>15</v>
      </c>
      <c r="U36" s="16" t="s">
        <v>55</v>
      </c>
      <c r="V36" s="17">
        <f>IF(U36="Adecuado",[12]Listas!$C$32,[12]Listas!$C$33)</f>
        <v>15</v>
      </c>
      <c r="W36" s="16" t="s">
        <v>56</v>
      </c>
      <c r="X36" s="17">
        <f>IF(W36="Oportuna",[12]Listas!$C$34,[12]Listas!$C$35)</f>
        <v>15</v>
      </c>
      <c r="Y36" s="16" t="s">
        <v>75</v>
      </c>
      <c r="Z36" s="17">
        <f>IF(Y36="Prevenir",[12]Listas!$C$36,IF(Y36="Detectar",[12]Listas!$C$37,[12]Listas!$C$38))</f>
        <v>10</v>
      </c>
      <c r="AA36" s="16" t="s">
        <v>58</v>
      </c>
      <c r="AB36" s="17">
        <f>IF(AA36="Confiable",[12]Listas!$C$39,[12]Listas!$C$40)</f>
        <v>15</v>
      </c>
      <c r="AC36" s="16" t="s">
        <v>59</v>
      </c>
      <c r="AD36" s="17">
        <f>IF(AC36="Se investigan y resuelven oportunamente",[12]Listas!$C$41,[12]Listas!$C$42)</f>
        <v>15</v>
      </c>
      <c r="AE36" s="16" t="s">
        <v>60</v>
      </c>
      <c r="AF36" s="17">
        <f>IF(AE36="Completa",[12]Listas!$C$43,IF(AE36="Incompleta",[12]Listas!$C$44,[12]Listas!$C$45))</f>
        <v>10</v>
      </c>
      <c r="AG36" s="14">
        <f t="shared" si="27"/>
        <v>95</v>
      </c>
      <c r="AH36" s="120"/>
      <c r="AI36" s="107"/>
      <c r="AJ36" s="107"/>
      <c r="AK36" s="78"/>
      <c r="AL36" s="110"/>
      <c r="AM36" s="113"/>
      <c r="AN36" s="115"/>
      <c r="AO36" s="9" t="s">
        <v>203</v>
      </c>
      <c r="AP36" s="9" t="s">
        <v>204</v>
      </c>
      <c r="AQ36" s="9" t="s">
        <v>196</v>
      </c>
      <c r="AR36" s="67" t="s">
        <v>205</v>
      </c>
      <c r="AS36" s="9" t="s">
        <v>206</v>
      </c>
    </row>
    <row r="37" spans="1:45" s="1" customFormat="1" ht="65.25" customHeight="1" x14ac:dyDescent="0.25">
      <c r="A37" s="82"/>
      <c r="B37" s="95"/>
      <c r="C37" s="125"/>
      <c r="D37" s="66"/>
      <c r="E37" s="66" t="s">
        <v>207</v>
      </c>
      <c r="F37" s="66" t="s">
        <v>208</v>
      </c>
      <c r="G37" s="66" t="s">
        <v>209</v>
      </c>
      <c r="H37" s="66"/>
      <c r="I37" s="66" t="s">
        <v>210</v>
      </c>
      <c r="J37" s="126"/>
      <c r="K37" s="107"/>
      <c r="L37" s="78"/>
      <c r="M37" s="110"/>
      <c r="N37" s="117"/>
      <c r="O37" s="122" t="s">
        <v>211</v>
      </c>
      <c r="P37" s="104" t="s">
        <v>110</v>
      </c>
      <c r="Q37" s="80" t="s">
        <v>53</v>
      </c>
      <c r="R37" s="80" t="s">
        <v>53</v>
      </c>
      <c r="S37" s="102" t="s">
        <v>54</v>
      </c>
      <c r="T37" s="102">
        <f>IF(S37="Asignado",[12]Listas!$C$30,[12]Listas!$C$31)</f>
        <v>15</v>
      </c>
      <c r="U37" s="102" t="s">
        <v>55</v>
      </c>
      <c r="V37" s="102">
        <f>IF(U37="Adecuado",[12]Listas!$C$32,[12]Listas!$C$33)</f>
        <v>15</v>
      </c>
      <c r="W37" s="102" t="s">
        <v>56</v>
      </c>
      <c r="X37" s="102">
        <f>IF(W37="Oportuna",[12]Listas!$C$34,[12]Listas!$C$35)</f>
        <v>15</v>
      </c>
      <c r="Y37" s="102" t="s">
        <v>75</v>
      </c>
      <c r="Z37" s="102">
        <f>IF(Y37="Prevenir",[12]Listas!$C$36,IF(Y37="Detectar",[12]Listas!$C$37,[12]Listas!$C$38))</f>
        <v>10</v>
      </c>
      <c r="AA37" s="102" t="s">
        <v>58</v>
      </c>
      <c r="AB37" s="102">
        <f>IF(AA37="Confiable",[12]Listas!$C$39,[12]Listas!$C$40)</f>
        <v>15</v>
      </c>
      <c r="AC37" s="102" t="s">
        <v>59</v>
      </c>
      <c r="AD37" s="102">
        <f>IF(AC37="Se investigan y resuelven oportunamente",[12]Listas!$C$41,[12]Listas!$C$42)</f>
        <v>15</v>
      </c>
      <c r="AE37" s="102" t="s">
        <v>60</v>
      </c>
      <c r="AF37" s="102">
        <f>IF(AE37="Completa",[12]Listas!$C$43,IF(AE37="Incompleta",[12]Listas!$C$44,[12]Listas!$C$45))</f>
        <v>10</v>
      </c>
      <c r="AG37" s="104">
        <f t="shared" si="27"/>
        <v>95</v>
      </c>
      <c r="AH37" s="120"/>
      <c r="AI37" s="107"/>
      <c r="AJ37" s="107"/>
      <c r="AK37" s="78"/>
      <c r="AL37" s="110"/>
      <c r="AM37" s="113"/>
      <c r="AN37" s="115"/>
      <c r="AO37" s="90" t="s">
        <v>212</v>
      </c>
      <c r="AP37" s="90" t="s">
        <v>213</v>
      </c>
      <c r="AQ37" s="90" t="s">
        <v>196</v>
      </c>
      <c r="AR37" s="92" t="s">
        <v>214</v>
      </c>
      <c r="AS37" s="90" t="s">
        <v>215</v>
      </c>
    </row>
    <row r="38" spans="1:45" s="1" customFormat="1" ht="74.25" customHeight="1" x14ac:dyDescent="0.25">
      <c r="A38" s="83"/>
      <c r="B38" s="96"/>
      <c r="C38" s="125"/>
      <c r="D38" s="66"/>
      <c r="E38" s="66"/>
      <c r="F38" s="66"/>
      <c r="G38" s="66"/>
      <c r="H38" s="66"/>
      <c r="I38" s="66" t="s">
        <v>216</v>
      </c>
      <c r="J38" s="91"/>
      <c r="K38" s="108"/>
      <c r="L38" s="105"/>
      <c r="M38" s="111"/>
      <c r="N38" s="118"/>
      <c r="O38" s="123"/>
      <c r="P38" s="105"/>
      <c r="Q38" s="124"/>
      <c r="R38" s="124"/>
      <c r="S38" s="103"/>
      <c r="T38" s="103"/>
      <c r="U38" s="103"/>
      <c r="V38" s="103"/>
      <c r="W38" s="103"/>
      <c r="X38" s="103"/>
      <c r="Y38" s="103"/>
      <c r="Z38" s="103"/>
      <c r="AA38" s="103"/>
      <c r="AB38" s="103"/>
      <c r="AC38" s="103"/>
      <c r="AD38" s="103"/>
      <c r="AE38" s="103"/>
      <c r="AF38" s="103"/>
      <c r="AG38" s="105"/>
      <c r="AH38" s="121"/>
      <c r="AI38" s="108"/>
      <c r="AJ38" s="108"/>
      <c r="AK38" s="105"/>
      <c r="AL38" s="111"/>
      <c r="AM38" s="114"/>
      <c r="AN38" s="103"/>
      <c r="AO38" s="91"/>
      <c r="AP38" s="91"/>
      <c r="AQ38" s="91"/>
      <c r="AR38" s="93"/>
      <c r="AS38" s="91"/>
    </row>
    <row r="39" spans="1:45" s="28" customFormat="1" ht="147.75" customHeight="1" x14ac:dyDescent="0.25">
      <c r="A39" s="84" t="s">
        <v>240</v>
      </c>
      <c r="B39" s="95">
        <v>14</v>
      </c>
      <c r="C39" s="97"/>
      <c r="D39" s="15" t="s">
        <v>46</v>
      </c>
      <c r="E39" s="15" t="s">
        <v>217</v>
      </c>
      <c r="F39" s="15" t="s">
        <v>218</v>
      </c>
      <c r="G39" s="54" t="s">
        <v>219</v>
      </c>
      <c r="H39" s="88" t="s">
        <v>220</v>
      </c>
      <c r="I39" s="98" t="s">
        <v>221</v>
      </c>
      <c r="J39" s="99" t="s">
        <v>50</v>
      </c>
      <c r="K39" s="100">
        <v>2</v>
      </c>
      <c r="L39" s="101">
        <v>2</v>
      </c>
      <c r="M39" s="86">
        <f t="shared" ref="M39" si="28">K39*L39</f>
        <v>4</v>
      </c>
      <c r="N39" s="87" t="str">
        <f>IF(AND(K39=1,L39=1),"BAJO",IF(AND(K39=1,L39=2),"BAJO",IF(AND(K39=2,L39=1),"BAJO",IF(AND(K39=2,L39=2),"BAJO",IF(AND(K39=3,L39=1),"BAJO",IF(AND(K39=1,L39=3),"MODERADO",IF(AND(K39=2,L39=3),"MODERADO",IF(AND(K39=3,L39=2),"MODERADO",IF(AND(K39=4,L39=1),"MODERADO",IF(AND(K39=5,L39=1),"ALTO",IF(AND(K39=4,L39=2),"ALTO",IF(AND(K39=3,L39=3),"ALTO",IF(AND(K39=2,L39=4),"ALTO",IF(AND(K39=1,L39=4),"ALTO",IF(AND(K39=5,L39=2),"ALTO",IF(AND(K39=4,L39=3),"ALTO","EXTREMO"))))))))))))))))</f>
        <v>BAJO</v>
      </c>
      <c r="O39" s="54" t="s">
        <v>222</v>
      </c>
      <c r="P39" s="14" t="s">
        <v>52</v>
      </c>
      <c r="Q39" s="15" t="s">
        <v>53</v>
      </c>
      <c r="R39" s="15" t="s">
        <v>53</v>
      </c>
      <c r="S39" s="16" t="s">
        <v>54</v>
      </c>
      <c r="T39" s="17">
        <f>IF(S39="Asignado",[13]Listas!$C$30,[13]Listas!$C$31)</f>
        <v>15</v>
      </c>
      <c r="U39" s="16" t="s">
        <v>55</v>
      </c>
      <c r="V39" s="17">
        <f>IF(U39="Adecuado",[13]Listas!$C$32,[13]Listas!$C$33)</f>
        <v>15</v>
      </c>
      <c r="W39" s="16" t="s">
        <v>56</v>
      </c>
      <c r="X39" s="17">
        <f>IF(W39="Oportuna",[13]Listas!$C$34,[13]Listas!$C$35)</f>
        <v>15</v>
      </c>
      <c r="Y39" s="16" t="s">
        <v>57</v>
      </c>
      <c r="Z39" s="17">
        <f>IF(Y39="Prevenir",[13]Listas!$C$36,IF(Y39="Detectar",[13]Listas!$C$37,[13]Listas!$C$38))</f>
        <v>15</v>
      </c>
      <c r="AA39" s="16" t="s">
        <v>58</v>
      </c>
      <c r="AB39" s="17">
        <f>IF(AA39="Confiable",[13]Listas!$C$39,[13]Listas!$C$40)</f>
        <v>15</v>
      </c>
      <c r="AC39" s="16" t="s">
        <v>59</v>
      </c>
      <c r="AD39" s="17">
        <f>IF(AC39="Se investigan y resuelven oportunamente",[13]Listas!$C$41,[13]Listas!$C$42)</f>
        <v>15</v>
      </c>
      <c r="AE39" s="16" t="s">
        <v>60</v>
      </c>
      <c r="AF39" s="17">
        <f>IF(AE39="Completa",[13]Listas!$C$43,IF(AE39="Incompleta",[13]Listas!$C$44,[13]Listas!$C$45))</f>
        <v>10</v>
      </c>
      <c r="AG39" s="14">
        <f t="shared" ref="AG39:AG43" si="29">T39+V39+X39+Z39+AB39+AD39+AF39</f>
        <v>100</v>
      </c>
      <c r="AH39" s="101">
        <f>AVERAGE(AG39:AG43)</f>
        <v>20</v>
      </c>
      <c r="AI39" s="100">
        <v>1</v>
      </c>
      <c r="AJ39" s="101">
        <v>2</v>
      </c>
      <c r="AK39" s="86">
        <f>+AI39*AJ39</f>
        <v>2</v>
      </c>
      <c r="AL39" s="87" t="str">
        <f t="shared" ref="AL39" si="30">IF(AND(AI39=1,AJ39=1),"BAJO",IF(AND(AI39=1,AJ39=2),"BAJO",IF(AND(AI39=2,AJ39=1),"BAJO",IF(AND(AI39=2,AJ39=2),"BAJO",IF(AND(AI39=3,AJ39=1),"BAJO",IF(AND(AI39=1,AJ39=3),"MODERADO",IF(AND(AI39=2,AJ39=3),"MODERADO",IF(AND(AI39=3,AJ39=2),"MODERADO",IF(AND(AI39=4,AJ39=1),"MODERADO",IF(AND(AI39=5,AJ39=1),"ALTO",IF(AND(AI39=4,AJ39=2),"ALTO",IF(AND(AI39=3,AJ39=3),"ALTO",IF(AND(AI39=2,AJ39=4),"ALTO",IF(AND(AI39=1,AJ39=4),"ALTO",IF(AND(AI39=5,AJ39=2),"ALTO",IF(AND(AI39=4,AJ39=3),"ALTO","EXTREMO"))))))))))))))))</f>
        <v>BAJO</v>
      </c>
      <c r="AM39" s="88" t="s">
        <v>223</v>
      </c>
      <c r="AN39" s="89" t="s">
        <v>224</v>
      </c>
      <c r="AO39" s="77" t="s">
        <v>225</v>
      </c>
      <c r="AP39" s="77" t="s">
        <v>226</v>
      </c>
      <c r="AQ39" s="77" t="s">
        <v>227</v>
      </c>
      <c r="AR39" s="77" t="s">
        <v>228</v>
      </c>
    </row>
    <row r="40" spans="1:45" s="28" customFormat="1" ht="27" customHeight="1" x14ac:dyDescent="0.25">
      <c r="A40" s="84"/>
      <c r="B40" s="95"/>
      <c r="C40" s="97"/>
      <c r="D40" s="15"/>
      <c r="E40" s="15"/>
      <c r="F40" s="15"/>
      <c r="G40" s="54"/>
      <c r="H40" s="88"/>
      <c r="I40" s="98"/>
      <c r="J40" s="99"/>
      <c r="K40" s="100"/>
      <c r="L40" s="101"/>
      <c r="M40" s="86"/>
      <c r="N40" s="87"/>
      <c r="O40" s="64"/>
      <c r="P40" s="14"/>
      <c r="Q40" s="15"/>
      <c r="R40" s="15"/>
      <c r="S40" s="16"/>
      <c r="T40" s="17">
        <f>IF(S40="Asignado",[13]Listas!$C$30,[13]Listas!$C$31)</f>
        <v>0</v>
      </c>
      <c r="U40" s="16"/>
      <c r="V40" s="17">
        <f>IF(U40="Adecuado",[13]Listas!$C$32,[13]Listas!$C$33)</f>
        <v>0</v>
      </c>
      <c r="W40" s="16"/>
      <c r="X40" s="17">
        <f>IF(W40="Oportuna",[13]Listas!$C$34,[13]Listas!$C$35)</f>
        <v>0</v>
      </c>
      <c r="Y40" s="16"/>
      <c r="Z40" s="17">
        <f>IF(Y40="Prevenir",[13]Listas!$C$36,IF(Y40="Detectar",[13]Listas!$C$37,[13]Listas!$C$38))</f>
        <v>0</v>
      </c>
      <c r="AA40" s="16"/>
      <c r="AB40" s="17">
        <f>IF(AA40="Confiable",[13]Listas!$C$39,[13]Listas!$C$40)</f>
        <v>0</v>
      </c>
      <c r="AC40" s="16"/>
      <c r="AD40" s="17">
        <f>IF(AC40="Se investigan y resuelven oportunamente",[13]Listas!$C$41,[13]Listas!$C$42)</f>
        <v>0</v>
      </c>
      <c r="AE40" s="16"/>
      <c r="AF40" s="17">
        <f>IF(AE40="Completa",[13]Listas!$C$43,IF(AE40="Incompleta",[13]Listas!$C$44,[13]Listas!$C$45))</f>
        <v>0</v>
      </c>
      <c r="AG40" s="14">
        <f t="shared" si="29"/>
        <v>0</v>
      </c>
      <c r="AH40" s="101"/>
      <c r="AI40" s="100"/>
      <c r="AJ40" s="101"/>
      <c r="AK40" s="86"/>
      <c r="AL40" s="87"/>
      <c r="AM40" s="88"/>
      <c r="AN40" s="89"/>
      <c r="AO40" s="77"/>
      <c r="AP40" s="77"/>
      <c r="AQ40" s="77"/>
      <c r="AR40" s="77"/>
    </row>
    <row r="41" spans="1:45" s="28" customFormat="1" ht="27" customHeight="1" x14ac:dyDescent="0.25">
      <c r="A41" s="84"/>
      <c r="B41" s="95"/>
      <c r="C41" s="97"/>
      <c r="D41" s="15"/>
      <c r="E41" s="15"/>
      <c r="F41" s="15"/>
      <c r="G41" s="54"/>
      <c r="H41" s="88"/>
      <c r="I41" s="98"/>
      <c r="J41" s="99"/>
      <c r="K41" s="100"/>
      <c r="L41" s="101"/>
      <c r="M41" s="86"/>
      <c r="N41" s="87"/>
      <c r="O41" s="64"/>
      <c r="P41" s="14"/>
      <c r="Q41" s="15"/>
      <c r="R41" s="15"/>
      <c r="S41" s="16"/>
      <c r="T41" s="17">
        <f>IF(S41="Asignado",[13]Listas!$C$30,[13]Listas!$C$31)</f>
        <v>0</v>
      </c>
      <c r="U41" s="16"/>
      <c r="V41" s="17">
        <f>IF(U41="Adecuado",[13]Listas!$C$32,[13]Listas!$C$33)</f>
        <v>0</v>
      </c>
      <c r="W41" s="16"/>
      <c r="X41" s="17">
        <f>IF(W41="Oportuna",[13]Listas!$C$34,[13]Listas!$C$35)</f>
        <v>0</v>
      </c>
      <c r="Y41" s="16"/>
      <c r="Z41" s="17">
        <f>IF(Y41="Prevenir",[13]Listas!$C$36,IF(Y41="Detectar",[13]Listas!$C$37,[13]Listas!$C$38))</f>
        <v>0</v>
      </c>
      <c r="AA41" s="16"/>
      <c r="AB41" s="17">
        <f>IF(AA41="Confiable",[13]Listas!$C$39,[13]Listas!$C$40)</f>
        <v>0</v>
      </c>
      <c r="AC41" s="16"/>
      <c r="AD41" s="17">
        <f>IF(AC41="Se investigan y resuelven oportunamente",[13]Listas!$C$41,[13]Listas!$C$42)</f>
        <v>0</v>
      </c>
      <c r="AE41" s="16"/>
      <c r="AF41" s="17">
        <f>IF(AE41="Completa",[13]Listas!$C$43,IF(AE41="Incompleta",[13]Listas!$C$44,[13]Listas!$C$45))</f>
        <v>0</v>
      </c>
      <c r="AG41" s="14">
        <f t="shared" si="29"/>
        <v>0</v>
      </c>
      <c r="AH41" s="101"/>
      <c r="AI41" s="100"/>
      <c r="AJ41" s="101"/>
      <c r="AK41" s="86"/>
      <c r="AL41" s="87"/>
      <c r="AM41" s="88"/>
      <c r="AN41" s="89"/>
      <c r="AO41" s="77"/>
      <c r="AP41" s="77"/>
      <c r="AQ41" s="77"/>
      <c r="AR41" s="77"/>
    </row>
    <row r="42" spans="1:45" s="28" customFormat="1" ht="27" customHeight="1" x14ac:dyDescent="0.25">
      <c r="A42" s="84"/>
      <c r="B42" s="95"/>
      <c r="C42" s="97"/>
      <c r="D42" s="15"/>
      <c r="E42" s="15"/>
      <c r="F42" s="15"/>
      <c r="G42" s="64"/>
      <c r="H42" s="88"/>
      <c r="I42" s="98"/>
      <c r="J42" s="99"/>
      <c r="K42" s="100"/>
      <c r="L42" s="101"/>
      <c r="M42" s="86"/>
      <c r="N42" s="87"/>
      <c r="O42" s="64"/>
      <c r="P42" s="14"/>
      <c r="Q42" s="15"/>
      <c r="R42" s="15"/>
      <c r="S42" s="16"/>
      <c r="T42" s="17">
        <f>IF(S42="Asignado",[13]Listas!$C$30,[13]Listas!$C$31)</f>
        <v>0</v>
      </c>
      <c r="U42" s="16"/>
      <c r="V42" s="17">
        <f>IF(U42="Adecuado",[13]Listas!$C$32,[13]Listas!$C$33)</f>
        <v>0</v>
      </c>
      <c r="W42" s="16"/>
      <c r="X42" s="17">
        <f>IF(W42="Oportuna",[13]Listas!$C$34,[13]Listas!$C$35)</f>
        <v>0</v>
      </c>
      <c r="Y42" s="16"/>
      <c r="Z42" s="17">
        <f>IF(Y42="Prevenir",[13]Listas!$C$36,IF(Y42="Detectar",[13]Listas!$C$37,[13]Listas!$C$38))</f>
        <v>0</v>
      </c>
      <c r="AA42" s="16"/>
      <c r="AB42" s="17">
        <f>IF(AA42="Confiable",[13]Listas!$C$39,[13]Listas!$C$40)</f>
        <v>0</v>
      </c>
      <c r="AC42" s="16"/>
      <c r="AD42" s="17">
        <f>IF(AC42="Se investigan y resuelven oportunamente",[13]Listas!$C$41,[13]Listas!$C$42)</f>
        <v>0</v>
      </c>
      <c r="AE42" s="16"/>
      <c r="AF42" s="17">
        <f>IF(AE42="Completa",[13]Listas!$C$43,IF(AE42="Incompleta",[13]Listas!$C$44,[13]Listas!$C$45))</f>
        <v>0</v>
      </c>
      <c r="AG42" s="14">
        <f t="shared" si="29"/>
        <v>0</v>
      </c>
      <c r="AH42" s="101"/>
      <c r="AI42" s="100"/>
      <c r="AJ42" s="101"/>
      <c r="AK42" s="86"/>
      <c r="AL42" s="87"/>
      <c r="AM42" s="88"/>
      <c r="AN42" s="89"/>
      <c r="AO42" s="77"/>
      <c r="AP42" s="77"/>
      <c r="AQ42" s="77"/>
      <c r="AR42" s="77"/>
    </row>
    <row r="43" spans="1:45" s="28" customFormat="1" ht="27" customHeight="1" x14ac:dyDescent="0.25">
      <c r="A43" s="85"/>
      <c r="B43" s="96"/>
      <c r="C43" s="97"/>
      <c r="D43" s="15"/>
      <c r="E43" s="15"/>
      <c r="F43" s="15"/>
      <c r="G43" s="64"/>
      <c r="H43" s="88"/>
      <c r="I43" s="98"/>
      <c r="J43" s="99"/>
      <c r="K43" s="100"/>
      <c r="L43" s="101"/>
      <c r="M43" s="86"/>
      <c r="N43" s="87"/>
      <c r="O43" s="16"/>
      <c r="P43" s="14"/>
      <c r="Q43" s="15"/>
      <c r="R43" s="15"/>
      <c r="S43" s="16"/>
      <c r="T43" s="17">
        <f>IF(S43="Asignado",[13]Listas!$C$30,[13]Listas!$C$31)</f>
        <v>0</v>
      </c>
      <c r="U43" s="16"/>
      <c r="V43" s="17">
        <f>IF(U43="Adecuado",[13]Listas!$C$32,[13]Listas!$C$33)</f>
        <v>0</v>
      </c>
      <c r="W43" s="16"/>
      <c r="X43" s="17">
        <f>IF(W43="Oportuna",[13]Listas!$C$34,[13]Listas!$C$35)</f>
        <v>0</v>
      </c>
      <c r="Y43" s="16"/>
      <c r="Z43" s="17">
        <f>IF(Y43="Prevenir",[13]Listas!$C$36,IF(Y43="Detectar",[13]Listas!$C$37,[13]Listas!$C$38))</f>
        <v>0</v>
      </c>
      <c r="AA43" s="16"/>
      <c r="AB43" s="17">
        <f>IF(AA43="Confiable",[13]Listas!$C$39,[13]Listas!$C$40)</f>
        <v>0</v>
      </c>
      <c r="AC43" s="16"/>
      <c r="AD43" s="17">
        <f>IF(AC43="Se investigan y resuelven oportunamente",[13]Listas!$C$41,[13]Listas!$C$42)</f>
        <v>0</v>
      </c>
      <c r="AE43" s="16"/>
      <c r="AF43" s="17">
        <f>IF(AE43="Completa",[13]Listas!$C$43,IF(AE43="Incompleta",[13]Listas!$C$44,[13]Listas!$C$45))</f>
        <v>0</v>
      </c>
      <c r="AG43" s="14">
        <f t="shared" si="29"/>
        <v>0</v>
      </c>
      <c r="AH43" s="101"/>
      <c r="AI43" s="100"/>
      <c r="AJ43" s="101"/>
      <c r="AK43" s="86"/>
      <c r="AL43" s="87"/>
      <c r="AM43" s="88"/>
      <c r="AN43" s="89"/>
      <c r="AO43" s="77"/>
      <c r="AP43" s="77"/>
      <c r="AQ43" s="77"/>
      <c r="AR43" s="77"/>
    </row>
  </sheetData>
  <mergeCells count="322">
    <mergeCell ref="AP6:AP7"/>
    <mergeCell ref="AQ6:AQ7"/>
    <mergeCell ref="AR6:AR7"/>
    <mergeCell ref="AS6:AS7"/>
    <mergeCell ref="S7:T7"/>
    <mergeCell ref="U7:V7"/>
    <mergeCell ref="W7:X7"/>
    <mergeCell ref="Y7:Z7"/>
    <mergeCell ref="AA7:AB7"/>
    <mergeCell ref="AC7:AD7"/>
    <mergeCell ref="AI6:AI7"/>
    <mergeCell ref="AJ6:AJ7"/>
    <mergeCell ref="AK6:AK7"/>
    <mergeCell ref="AL6:AM7"/>
    <mergeCell ref="AN6:AN7"/>
    <mergeCell ref="AO6:AO7"/>
    <mergeCell ref="F6:F7"/>
    <mergeCell ref="G6:G7"/>
    <mergeCell ref="AH6:AH7"/>
    <mergeCell ref="AE7:AF7"/>
    <mergeCell ref="I6:I7"/>
    <mergeCell ref="J6:J7"/>
    <mergeCell ref="K6:K7"/>
    <mergeCell ref="L6:L7"/>
    <mergeCell ref="M6:N7"/>
    <mergeCell ref="O6:O7"/>
    <mergeCell ref="P6:P7"/>
    <mergeCell ref="Q6:Q7"/>
    <mergeCell ref="R6:R7"/>
    <mergeCell ref="S6:AF6"/>
    <mergeCell ref="AG6:AG7"/>
    <mergeCell ref="AJ5:AM5"/>
    <mergeCell ref="AN5:AS5"/>
    <mergeCell ref="B10:B13"/>
    <mergeCell ref="H10:H13"/>
    <mergeCell ref="I10:I13"/>
    <mergeCell ref="J10:J13"/>
    <mergeCell ref="K10:K13"/>
    <mergeCell ref="L10:L13"/>
    <mergeCell ref="M10:M13"/>
    <mergeCell ref="N10:N13"/>
    <mergeCell ref="O10:O13"/>
    <mergeCell ref="P10:P13"/>
    <mergeCell ref="Q10:Q13"/>
    <mergeCell ref="R10:R13"/>
    <mergeCell ref="S10:S13"/>
    <mergeCell ref="T10:T13"/>
    <mergeCell ref="H6:H7"/>
    <mergeCell ref="C5:E5"/>
    <mergeCell ref="F5:J5"/>
    <mergeCell ref="K5:N5"/>
    <mergeCell ref="O5:AH5"/>
    <mergeCell ref="B6:B7"/>
    <mergeCell ref="C6:C7"/>
    <mergeCell ref="D6:E6"/>
    <mergeCell ref="O14:O15"/>
    <mergeCell ref="P14:P15"/>
    <mergeCell ref="Q14:Q15"/>
    <mergeCell ref="AJ10:AJ13"/>
    <mergeCell ref="AK10:AK13"/>
    <mergeCell ref="AL10:AL13"/>
    <mergeCell ref="AM10:AM13"/>
    <mergeCell ref="AN10:AN13"/>
    <mergeCell ref="AE10:AE13"/>
    <mergeCell ref="AF10:AF13"/>
    <mergeCell ref="AG10:AG13"/>
    <mergeCell ref="AH10:AH13"/>
    <mergeCell ref="AI10:AI13"/>
    <mergeCell ref="Z10:Z13"/>
    <mergeCell ref="AA10:AA13"/>
    <mergeCell ref="AB10:AB13"/>
    <mergeCell ref="AC10:AC13"/>
    <mergeCell ref="AD10:AD13"/>
    <mergeCell ref="U10:U13"/>
    <mergeCell ref="V10:V13"/>
    <mergeCell ref="W10:W13"/>
    <mergeCell ref="X10:X13"/>
    <mergeCell ref="Y10:Y13"/>
    <mergeCell ref="B14:B15"/>
    <mergeCell ref="G14:G15"/>
    <mergeCell ref="H14:H15"/>
    <mergeCell ref="I14:I15"/>
    <mergeCell ref="J14:J15"/>
    <mergeCell ref="K14:K15"/>
    <mergeCell ref="L14:L15"/>
    <mergeCell ref="M14:M15"/>
    <mergeCell ref="N14:N15"/>
    <mergeCell ref="R14:R15"/>
    <mergeCell ref="S14:S15"/>
    <mergeCell ref="T14:T15"/>
    <mergeCell ref="U14:U15"/>
    <mergeCell ref="V14:V15"/>
    <mergeCell ref="AO10:AO13"/>
    <mergeCell ref="AP10:AP13"/>
    <mergeCell ref="AQ10:AQ13"/>
    <mergeCell ref="AR10:AR13"/>
    <mergeCell ref="AJ14:AJ15"/>
    <mergeCell ref="AK14:AK15"/>
    <mergeCell ref="AB14:AB15"/>
    <mergeCell ref="AC14:AC15"/>
    <mergeCell ref="AD14:AD15"/>
    <mergeCell ref="AE14:AE15"/>
    <mergeCell ref="AF14:AF15"/>
    <mergeCell ref="W14:W15"/>
    <mergeCell ref="X14:X15"/>
    <mergeCell ref="Y14:Y15"/>
    <mergeCell ref="Z14:Z15"/>
    <mergeCell ref="AA14:AA15"/>
    <mergeCell ref="AQ14:AQ15"/>
    <mergeCell ref="AR14:AR15"/>
    <mergeCell ref="B16:B19"/>
    <mergeCell ref="H16:H19"/>
    <mergeCell ref="I16:I19"/>
    <mergeCell ref="J16:J19"/>
    <mergeCell ref="K16:K19"/>
    <mergeCell ref="L16:L19"/>
    <mergeCell ref="M16:M19"/>
    <mergeCell ref="N16:N19"/>
    <mergeCell ref="O16:O19"/>
    <mergeCell ref="P16:P19"/>
    <mergeCell ref="Q16:Q19"/>
    <mergeCell ref="R16:R19"/>
    <mergeCell ref="S16:S19"/>
    <mergeCell ref="T16:T19"/>
    <mergeCell ref="AL14:AL15"/>
    <mergeCell ref="AM14:AM15"/>
    <mergeCell ref="AN14:AN15"/>
    <mergeCell ref="AO14:AO15"/>
    <mergeCell ref="AP14:AP15"/>
    <mergeCell ref="AG14:AG15"/>
    <mergeCell ref="AH14:AH15"/>
    <mergeCell ref="AI14:AI15"/>
    <mergeCell ref="AH16:AH19"/>
    <mergeCell ref="AI16:AI19"/>
    <mergeCell ref="Z16:Z19"/>
    <mergeCell ref="AA16:AA19"/>
    <mergeCell ref="AB16:AB19"/>
    <mergeCell ref="AC16:AC19"/>
    <mergeCell ref="AD16:AD19"/>
    <mergeCell ref="U16:U19"/>
    <mergeCell ref="V16:V19"/>
    <mergeCell ref="W16:W19"/>
    <mergeCell ref="X16:X19"/>
    <mergeCell ref="Y16:Y19"/>
    <mergeCell ref="AO16:AO19"/>
    <mergeCell ref="AP16:AP19"/>
    <mergeCell ref="AQ16:AQ19"/>
    <mergeCell ref="AR16:AR19"/>
    <mergeCell ref="B23:B24"/>
    <mergeCell ref="H23:H24"/>
    <mergeCell ref="I23:I24"/>
    <mergeCell ref="J23:J24"/>
    <mergeCell ref="K23:K24"/>
    <mergeCell ref="L23:L24"/>
    <mergeCell ref="M23:M24"/>
    <mergeCell ref="N23:N24"/>
    <mergeCell ref="AH23:AH24"/>
    <mergeCell ref="AJ23:AJ24"/>
    <mergeCell ref="AK23:AK24"/>
    <mergeCell ref="AL23:AL24"/>
    <mergeCell ref="AJ16:AJ19"/>
    <mergeCell ref="AK16:AK19"/>
    <mergeCell ref="AL16:AL19"/>
    <mergeCell ref="AM16:AM19"/>
    <mergeCell ref="AN16:AN19"/>
    <mergeCell ref="AE16:AE19"/>
    <mergeCell ref="AF16:AF19"/>
    <mergeCell ref="AG16:AG19"/>
    <mergeCell ref="AR23:AR24"/>
    <mergeCell ref="AS23:AS24"/>
    <mergeCell ref="B26:B27"/>
    <mergeCell ref="C26:C27"/>
    <mergeCell ref="H26:H27"/>
    <mergeCell ref="I26:I27"/>
    <mergeCell ref="J26:J27"/>
    <mergeCell ref="K26:K27"/>
    <mergeCell ref="L26:L27"/>
    <mergeCell ref="M26:M27"/>
    <mergeCell ref="N26:N27"/>
    <mergeCell ref="AH26:AH27"/>
    <mergeCell ref="AI26:AI27"/>
    <mergeCell ref="AJ26:AJ27"/>
    <mergeCell ref="AK26:AK27"/>
    <mergeCell ref="AL26:AL27"/>
    <mergeCell ref="AM23:AM24"/>
    <mergeCell ref="AN23:AN24"/>
    <mergeCell ref="AO23:AO24"/>
    <mergeCell ref="AP23:AP24"/>
    <mergeCell ref="AQ23:AQ24"/>
    <mergeCell ref="AR26:AR27"/>
    <mergeCell ref="B28:B29"/>
    <mergeCell ref="C28:C29"/>
    <mergeCell ref="H28:H29"/>
    <mergeCell ref="I28:I29"/>
    <mergeCell ref="J28:J29"/>
    <mergeCell ref="K28:K29"/>
    <mergeCell ref="L28:L29"/>
    <mergeCell ref="M28:M29"/>
    <mergeCell ref="N28:N29"/>
    <mergeCell ref="O28:O29"/>
    <mergeCell ref="P28:P29"/>
    <mergeCell ref="Q28:Q29"/>
    <mergeCell ref="R28:R29"/>
    <mergeCell ref="S28:S29"/>
    <mergeCell ref="T28:T29"/>
    <mergeCell ref="AM26:AM27"/>
    <mergeCell ref="AN26:AN27"/>
    <mergeCell ref="AO26:AO27"/>
    <mergeCell ref="AP26:AP27"/>
    <mergeCell ref="AQ26:AQ27"/>
    <mergeCell ref="AI28:AI29"/>
    <mergeCell ref="Z28:Z29"/>
    <mergeCell ref="AA28:AA29"/>
    <mergeCell ref="AB28:AB29"/>
    <mergeCell ref="AC28:AC29"/>
    <mergeCell ref="AD28:AD29"/>
    <mergeCell ref="U28:U29"/>
    <mergeCell ref="V28:V29"/>
    <mergeCell ref="W28:W29"/>
    <mergeCell ref="X28:X29"/>
    <mergeCell ref="Y28:Y29"/>
    <mergeCell ref="AO28:AO29"/>
    <mergeCell ref="AP28:AP29"/>
    <mergeCell ref="AQ28:AQ29"/>
    <mergeCell ref="AR28:AR29"/>
    <mergeCell ref="C30:C34"/>
    <mergeCell ref="H30:H34"/>
    <mergeCell ref="I30:I34"/>
    <mergeCell ref="J30:J34"/>
    <mergeCell ref="K30:K34"/>
    <mergeCell ref="L30:L34"/>
    <mergeCell ref="M30:M34"/>
    <mergeCell ref="N30:N34"/>
    <mergeCell ref="O30:O34"/>
    <mergeCell ref="AG30:AG34"/>
    <mergeCell ref="AH30:AH34"/>
    <mergeCell ref="AJ28:AJ29"/>
    <mergeCell ref="AK28:AK29"/>
    <mergeCell ref="AL28:AL29"/>
    <mergeCell ref="AM28:AM29"/>
    <mergeCell ref="AN28:AN29"/>
    <mergeCell ref="AE28:AE29"/>
    <mergeCell ref="AF28:AF29"/>
    <mergeCell ref="AG28:AG29"/>
    <mergeCell ref="AH28:AH29"/>
    <mergeCell ref="C35:C38"/>
    <mergeCell ref="J35:J38"/>
    <mergeCell ref="K35:K38"/>
    <mergeCell ref="AN30:AN34"/>
    <mergeCell ref="AO30:AO34"/>
    <mergeCell ref="AP30:AP34"/>
    <mergeCell ref="AQ30:AQ34"/>
    <mergeCell ref="AR30:AR34"/>
    <mergeCell ref="AI30:AI34"/>
    <mergeCell ref="AJ30:AJ34"/>
    <mergeCell ref="AK30:AK34"/>
    <mergeCell ref="AL30:AL34"/>
    <mergeCell ref="AM30:AM34"/>
    <mergeCell ref="L35:L38"/>
    <mergeCell ref="M35:M38"/>
    <mergeCell ref="N35:N38"/>
    <mergeCell ref="AH35:AH38"/>
    <mergeCell ref="AI35:AI38"/>
    <mergeCell ref="O37:O38"/>
    <mergeCell ref="P37:P38"/>
    <mergeCell ref="Q37:Q38"/>
    <mergeCell ref="R37:R38"/>
    <mergeCell ref="S37:S38"/>
    <mergeCell ref="T37:T38"/>
    <mergeCell ref="U37:U38"/>
    <mergeCell ref="V37:V38"/>
    <mergeCell ref="W37:W38"/>
    <mergeCell ref="X37:X38"/>
    <mergeCell ref="Y37:Y38"/>
    <mergeCell ref="AE37:AE38"/>
    <mergeCell ref="AF37:AF38"/>
    <mergeCell ref="AG37:AG38"/>
    <mergeCell ref="AO37:AO38"/>
    <mergeCell ref="AP37:AP38"/>
    <mergeCell ref="Z37:Z38"/>
    <mergeCell ref="AA37:AA38"/>
    <mergeCell ref="AB37:AB38"/>
    <mergeCell ref="AC37:AC38"/>
    <mergeCell ref="AD37:AD38"/>
    <mergeCell ref="AJ35:AJ38"/>
    <mergeCell ref="AK35:AK38"/>
    <mergeCell ref="AL35:AL38"/>
    <mergeCell ref="AM35:AM38"/>
    <mergeCell ref="AN35:AN38"/>
    <mergeCell ref="I39:I43"/>
    <mergeCell ref="J39:J43"/>
    <mergeCell ref="K39:K43"/>
    <mergeCell ref="L39:L43"/>
    <mergeCell ref="M39:M43"/>
    <mergeCell ref="N39:N43"/>
    <mergeCell ref="AH39:AH43"/>
    <mergeCell ref="AI39:AI43"/>
    <mergeCell ref="AJ39:AJ43"/>
    <mergeCell ref="A3:AS3"/>
    <mergeCell ref="AP39:AP43"/>
    <mergeCell ref="AQ39:AQ43"/>
    <mergeCell ref="AR39:AR43"/>
    <mergeCell ref="A10:A13"/>
    <mergeCell ref="A14:A15"/>
    <mergeCell ref="A16:A19"/>
    <mergeCell ref="A23:A24"/>
    <mergeCell ref="A26:A29"/>
    <mergeCell ref="A30:A33"/>
    <mergeCell ref="A35:A38"/>
    <mergeCell ref="A39:A43"/>
    <mergeCell ref="AK39:AK43"/>
    <mergeCell ref="AL39:AL43"/>
    <mergeCell ref="AM39:AM43"/>
    <mergeCell ref="AN39:AN43"/>
    <mergeCell ref="AO39:AO43"/>
    <mergeCell ref="AQ37:AQ38"/>
    <mergeCell ref="AR37:AR38"/>
    <mergeCell ref="AS37:AS38"/>
    <mergeCell ref="B30:B38"/>
    <mergeCell ref="B39:B43"/>
    <mergeCell ref="C39:C43"/>
    <mergeCell ref="H39:H43"/>
  </mergeCells>
  <conditionalFormatting sqref="AM8">
    <cfRule type="expression" dxfId="155" priority="166">
      <formula>AM8="EXTREMO"</formula>
    </cfRule>
    <cfRule type="expression" dxfId="154" priority="167">
      <formula>AM8="MODERADO"</formula>
    </cfRule>
    <cfRule type="expression" dxfId="153" priority="168">
      <formula>AM8="ALTO"</formula>
    </cfRule>
    <cfRule type="expression" dxfId="152" priority="169">
      <formula>AM8="BAJO"</formula>
    </cfRule>
  </conditionalFormatting>
  <conditionalFormatting sqref="AM8">
    <cfRule type="expression" dxfId="151" priority="165">
      <formula>AM8=" "</formula>
    </cfRule>
  </conditionalFormatting>
  <conditionalFormatting sqref="AI8">
    <cfRule type="cellIs" dxfId="150" priority="162" operator="equal">
      <formula>"DEBIL"</formula>
    </cfRule>
    <cfRule type="cellIs" dxfId="149" priority="163" operator="equal">
      <formula>"MODERADO"</formula>
    </cfRule>
    <cfRule type="cellIs" dxfId="148" priority="164" operator="equal">
      <formula>"FUERTE"</formula>
    </cfRule>
  </conditionalFormatting>
  <conditionalFormatting sqref="N8">
    <cfRule type="expression" dxfId="147" priority="158">
      <formula>N8="EXTREMO"</formula>
    </cfRule>
    <cfRule type="expression" dxfId="146" priority="159">
      <formula>N8="MODERADO"</formula>
    </cfRule>
    <cfRule type="expression" dxfId="145" priority="160">
      <formula>N8="ALTO"</formula>
    </cfRule>
    <cfRule type="expression" dxfId="144" priority="161">
      <formula>N8="BAJO"</formula>
    </cfRule>
  </conditionalFormatting>
  <conditionalFormatting sqref="N8">
    <cfRule type="expression" dxfId="143" priority="157">
      <formula>N8=" "</formula>
    </cfRule>
  </conditionalFormatting>
  <conditionalFormatting sqref="AL39">
    <cfRule type="expression" dxfId="142" priority="1">
      <formula>AL39=" "</formula>
    </cfRule>
  </conditionalFormatting>
  <conditionalFormatting sqref="AM9">
    <cfRule type="expression" dxfId="141" priority="140">
      <formula>AM9="EXTREMO"</formula>
    </cfRule>
    <cfRule type="expression" dxfId="140" priority="141">
      <formula>AM9="MODERADO"</formula>
    </cfRule>
    <cfRule type="expression" dxfId="139" priority="142">
      <formula>AM9="ALTO"</formula>
    </cfRule>
    <cfRule type="expression" dxfId="138" priority="143">
      <formula>AM9="BAJO"</formula>
    </cfRule>
  </conditionalFormatting>
  <conditionalFormatting sqref="AM9">
    <cfRule type="expression" dxfId="137" priority="139">
      <formula>AM9=" "</formula>
    </cfRule>
  </conditionalFormatting>
  <conditionalFormatting sqref="AI9">
    <cfRule type="cellIs" dxfId="136" priority="136" operator="equal">
      <formula>"DEBIL"</formula>
    </cfRule>
    <cfRule type="cellIs" dxfId="135" priority="137" operator="equal">
      <formula>"MODERADO"</formula>
    </cfRule>
    <cfRule type="cellIs" dxfId="134" priority="138" operator="equal">
      <formula>"FUERTE"</formula>
    </cfRule>
  </conditionalFormatting>
  <conditionalFormatting sqref="N9">
    <cfRule type="expression" dxfId="133" priority="132">
      <formula>N9="EXTREMO"</formula>
    </cfRule>
    <cfRule type="expression" dxfId="132" priority="133">
      <formula>N9="MODERADO"</formula>
    </cfRule>
    <cfRule type="expression" dxfId="131" priority="134">
      <formula>N9="ALTO"</formula>
    </cfRule>
    <cfRule type="expression" dxfId="130" priority="135">
      <formula>N9="BAJO"</formula>
    </cfRule>
  </conditionalFormatting>
  <conditionalFormatting sqref="N9">
    <cfRule type="expression" dxfId="129" priority="131">
      <formula>N9=" "</formula>
    </cfRule>
  </conditionalFormatting>
  <conditionalFormatting sqref="N10">
    <cfRule type="expression" dxfId="128" priority="127">
      <formula>N10="EXTREMO"</formula>
    </cfRule>
    <cfRule type="expression" dxfId="127" priority="128">
      <formula>N10="MODERADO"</formula>
    </cfRule>
    <cfRule type="expression" dxfId="126" priority="129">
      <formula>N10="ALTO"</formula>
    </cfRule>
    <cfRule type="expression" dxfId="125" priority="130">
      <formula>N10="BAJO"</formula>
    </cfRule>
  </conditionalFormatting>
  <conditionalFormatting sqref="N10">
    <cfRule type="expression" dxfId="124" priority="126">
      <formula>N10=" "</formula>
    </cfRule>
  </conditionalFormatting>
  <conditionalFormatting sqref="AL10">
    <cfRule type="expression" dxfId="123" priority="122">
      <formula>AL10="EXTREMO"</formula>
    </cfRule>
    <cfRule type="expression" dxfId="122" priority="123">
      <formula>AL10="MODERADO"</formula>
    </cfRule>
    <cfRule type="expression" dxfId="121" priority="124">
      <formula>AL10="ALTO"</formula>
    </cfRule>
    <cfRule type="expression" dxfId="120" priority="125">
      <formula>AL10="BAJO"</formula>
    </cfRule>
  </conditionalFormatting>
  <conditionalFormatting sqref="AL10">
    <cfRule type="expression" dxfId="119" priority="121">
      <formula>AL10=" "</formula>
    </cfRule>
  </conditionalFormatting>
  <conditionalFormatting sqref="AL14 N14">
    <cfRule type="expression" dxfId="118" priority="117">
      <formula>N14="EXTREMO"</formula>
    </cfRule>
    <cfRule type="expression" dxfId="117" priority="118">
      <formula>N14="MODERADO"</formula>
    </cfRule>
    <cfRule type="expression" dxfId="116" priority="119">
      <formula>N14="ALTO"</formula>
    </cfRule>
    <cfRule type="expression" dxfId="115" priority="120">
      <formula>N14="BAJO"</formula>
    </cfRule>
  </conditionalFormatting>
  <conditionalFormatting sqref="AL14 N14">
    <cfRule type="expression" dxfId="114" priority="116">
      <formula>N14=" "</formula>
    </cfRule>
  </conditionalFormatting>
  <conditionalFormatting sqref="N16">
    <cfRule type="expression" dxfId="113" priority="112">
      <formula>N16="EXTREMO"</formula>
    </cfRule>
    <cfRule type="expression" dxfId="112" priority="113">
      <formula>N16="MODERADO"</formula>
    </cfRule>
    <cfRule type="expression" dxfId="111" priority="114">
      <formula>N16="ALTO"</formula>
    </cfRule>
    <cfRule type="expression" dxfId="110" priority="115">
      <formula>N16="BAJO"</formula>
    </cfRule>
  </conditionalFormatting>
  <conditionalFormatting sqref="N16">
    <cfRule type="expression" dxfId="109" priority="111">
      <formula>N16=" "</formula>
    </cfRule>
  </conditionalFormatting>
  <conditionalFormatting sqref="AL16">
    <cfRule type="expression" dxfId="108" priority="107">
      <formula>AL16="EXTREMO"</formula>
    </cfRule>
    <cfRule type="expression" dxfId="107" priority="108">
      <formula>AL16="MODERADO"</formula>
    </cfRule>
    <cfRule type="expression" dxfId="106" priority="109">
      <formula>AL16="ALTO"</formula>
    </cfRule>
    <cfRule type="expression" dxfId="105" priority="110">
      <formula>AL16="BAJO"</formula>
    </cfRule>
  </conditionalFormatting>
  <conditionalFormatting sqref="AL16">
    <cfRule type="expression" dxfId="104" priority="106">
      <formula>AL16=" "</formula>
    </cfRule>
  </conditionalFormatting>
  <conditionalFormatting sqref="N20">
    <cfRule type="expression" dxfId="103" priority="102">
      <formula>N20="EXTREMO"</formula>
    </cfRule>
    <cfRule type="expression" dxfId="102" priority="103">
      <formula>N20="MODERADO"</formula>
    </cfRule>
    <cfRule type="expression" dxfId="101" priority="104">
      <formula>N20="ALTO"</formula>
    </cfRule>
    <cfRule type="expression" dxfId="100" priority="105">
      <formula>N20="BAJO"</formula>
    </cfRule>
  </conditionalFormatting>
  <conditionalFormatting sqref="N20">
    <cfRule type="expression" dxfId="99" priority="101">
      <formula>N20=" "</formula>
    </cfRule>
  </conditionalFormatting>
  <conditionalFormatting sqref="AM20">
    <cfRule type="expression" dxfId="98" priority="97">
      <formula>AM20="EXTREMO"</formula>
    </cfRule>
    <cfRule type="expression" dxfId="97" priority="98">
      <formula>AM20="MODERADO"</formula>
    </cfRule>
    <cfRule type="expression" dxfId="96" priority="99">
      <formula>AM20="ALTO"</formula>
    </cfRule>
    <cfRule type="expression" dxfId="95" priority="100">
      <formula>AM20="BAJO"</formula>
    </cfRule>
  </conditionalFormatting>
  <conditionalFormatting sqref="AM20">
    <cfRule type="expression" dxfId="94" priority="96">
      <formula>AM20=" "</formula>
    </cfRule>
  </conditionalFormatting>
  <conditionalFormatting sqref="AI20">
    <cfRule type="cellIs" dxfId="93" priority="93" operator="equal">
      <formula>"DEBIL"</formula>
    </cfRule>
    <cfRule type="cellIs" dxfId="92" priority="94" operator="equal">
      <formula>"MODERADO"</formula>
    </cfRule>
    <cfRule type="cellIs" dxfId="91" priority="95" operator="equal">
      <formula>"FUERTE"</formula>
    </cfRule>
  </conditionalFormatting>
  <conditionalFormatting sqref="N21">
    <cfRule type="expression" dxfId="90" priority="89">
      <formula>N21="EXTREMO"</formula>
    </cfRule>
    <cfRule type="expression" dxfId="89" priority="90">
      <formula>N21="MODERADO"</formula>
    </cfRule>
    <cfRule type="expression" dxfId="88" priority="91">
      <formula>N21="ALTO"</formula>
    </cfRule>
    <cfRule type="expression" dxfId="87" priority="92">
      <formula>N21="BAJO"</formula>
    </cfRule>
  </conditionalFormatting>
  <conditionalFormatting sqref="N21">
    <cfRule type="expression" dxfId="86" priority="88">
      <formula>N21=" "</formula>
    </cfRule>
  </conditionalFormatting>
  <conditionalFormatting sqref="AL21">
    <cfRule type="expression" dxfId="85" priority="84">
      <formula>AL21="EXTREMO"</formula>
    </cfRule>
    <cfRule type="expression" dxfId="84" priority="85">
      <formula>AL21="MODERADO"</formula>
    </cfRule>
    <cfRule type="expression" dxfId="83" priority="86">
      <formula>AL21="ALTO"</formula>
    </cfRule>
    <cfRule type="expression" dxfId="82" priority="87">
      <formula>AL21="BAJO"</formula>
    </cfRule>
  </conditionalFormatting>
  <conditionalFormatting sqref="AL21">
    <cfRule type="expression" dxfId="81" priority="83">
      <formula>AL21=" "</formula>
    </cfRule>
  </conditionalFormatting>
  <conditionalFormatting sqref="N22">
    <cfRule type="expression" dxfId="80" priority="79">
      <formula>N22="EXTREMO"</formula>
    </cfRule>
    <cfRule type="expression" dxfId="79" priority="80">
      <formula>N22="MODERADO"</formula>
    </cfRule>
    <cfRule type="expression" dxfId="78" priority="81">
      <formula>N22="ALTO"</formula>
    </cfRule>
    <cfRule type="expression" dxfId="77" priority="82">
      <formula>N22="BAJO"</formula>
    </cfRule>
  </conditionalFormatting>
  <conditionalFormatting sqref="N22">
    <cfRule type="expression" dxfId="76" priority="78">
      <formula>N22=" "</formula>
    </cfRule>
  </conditionalFormatting>
  <conditionalFormatting sqref="AM22">
    <cfRule type="expression" dxfId="75" priority="74">
      <formula>AM22="EXTREMO"</formula>
    </cfRule>
    <cfRule type="expression" dxfId="74" priority="75">
      <formula>AM22="MODERADO"</formula>
    </cfRule>
    <cfRule type="expression" dxfId="73" priority="76">
      <formula>AM22="ALTO"</formula>
    </cfRule>
    <cfRule type="expression" dxfId="72" priority="77">
      <formula>AM22="BAJO"</formula>
    </cfRule>
  </conditionalFormatting>
  <conditionalFormatting sqref="AM22">
    <cfRule type="expression" dxfId="71" priority="73">
      <formula>AM22=" "</formula>
    </cfRule>
  </conditionalFormatting>
  <conditionalFormatting sqref="AI22">
    <cfRule type="cellIs" dxfId="70" priority="70" operator="equal">
      <formula>"DEBIL"</formula>
    </cfRule>
    <cfRule type="cellIs" dxfId="69" priority="71" operator="equal">
      <formula>"MODERADO"</formula>
    </cfRule>
    <cfRule type="cellIs" dxfId="68" priority="72" operator="equal">
      <formula>"FUERTE"</formula>
    </cfRule>
  </conditionalFormatting>
  <conditionalFormatting sqref="N23">
    <cfRule type="expression" dxfId="67" priority="66">
      <formula>N23="EXTREMO"</formula>
    </cfRule>
    <cfRule type="expression" dxfId="66" priority="67">
      <formula>N23="MODERADO"</formula>
    </cfRule>
    <cfRule type="expression" dxfId="65" priority="68">
      <formula>N23="ALTO"</formula>
    </cfRule>
    <cfRule type="expression" dxfId="64" priority="69">
      <formula>N23="BAJO"</formula>
    </cfRule>
  </conditionalFormatting>
  <conditionalFormatting sqref="N23">
    <cfRule type="expression" dxfId="63" priority="65">
      <formula>N23=" "</formula>
    </cfRule>
  </conditionalFormatting>
  <conditionalFormatting sqref="AM23">
    <cfRule type="expression" dxfId="62" priority="61">
      <formula>AM23="EXTREMO"</formula>
    </cfRule>
    <cfRule type="expression" dxfId="61" priority="62">
      <formula>AM23="MODERADO"</formula>
    </cfRule>
    <cfRule type="expression" dxfId="60" priority="63">
      <formula>AM23="ALTO"</formula>
    </cfRule>
    <cfRule type="expression" dxfId="59" priority="64">
      <formula>AM23="BAJO"</formula>
    </cfRule>
  </conditionalFormatting>
  <conditionalFormatting sqref="AM23">
    <cfRule type="expression" dxfId="58" priority="60">
      <formula>AM23=" "</formula>
    </cfRule>
  </conditionalFormatting>
  <conditionalFormatting sqref="AI23">
    <cfRule type="cellIs" dxfId="57" priority="57" operator="equal">
      <formula>"DEBIL"</formula>
    </cfRule>
    <cfRule type="cellIs" dxfId="56" priority="58" operator="equal">
      <formula>"MODERADO"</formula>
    </cfRule>
    <cfRule type="cellIs" dxfId="55" priority="59" operator="equal">
      <formula>"FUERTE"</formula>
    </cfRule>
  </conditionalFormatting>
  <conditionalFormatting sqref="AI24">
    <cfRule type="cellIs" dxfId="54" priority="54" operator="equal">
      <formula>"DEBIL"</formula>
    </cfRule>
    <cfRule type="cellIs" dxfId="53" priority="55" operator="equal">
      <formula>"MODERADO"</formula>
    </cfRule>
    <cfRule type="cellIs" dxfId="52" priority="56" operator="equal">
      <formula>"FUERTE"</formula>
    </cfRule>
  </conditionalFormatting>
  <conditionalFormatting sqref="N25">
    <cfRule type="expression" dxfId="51" priority="50">
      <formula>N25="EXTREMO"</formula>
    </cfRule>
    <cfRule type="expression" dxfId="50" priority="51">
      <formula>N25="MODERADO"</formula>
    </cfRule>
    <cfRule type="expression" dxfId="49" priority="52">
      <formula>N25="ALTO"</formula>
    </cfRule>
    <cfRule type="expression" dxfId="48" priority="53">
      <formula>N25="BAJO"</formula>
    </cfRule>
  </conditionalFormatting>
  <conditionalFormatting sqref="N25">
    <cfRule type="expression" dxfId="47" priority="49">
      <formula>N25=" "</formula>
    </cfRule>
  </conditionalFormatting>
  <conditionalFormatting sqref="AM25">
    <cfRule type="expression" dxfId="46" priority="45">
      <formula>AM25="EXTREMO"</formula>
    </cfRule>
    <cfRule type="expression" dxfId="45" priority="46">
      <formula>AM25="MODERADO"</formula>
    </cfRule>
    <cfRule type="expression" dxfId="44" priority="47">
      <formula>AM25="ALTO"</formula>
    </cfRule>
    <cfRule type="expression" dxfId="43" priority="48">
      <formula>AM25="BAJO"</formula>
    </cfRule>
  </conditionalFormatting>
  <conditionalFormatting sqref="AM25">
    <cfRule type="expression" dxfId="42" priority="44">
      <formula>AM25=" "</formula>
    </cfRule>
  </conditionalFormatting>
  <conditionalFormatting sqref="AI25">
    <cfRule type="cellIs" dxfId="41" priority="41" operator="equal">
      <formula>"DEBIL"</formula>
    </cfRule>
    <cfRule type="cellIs" dxfId="40" priority="42" operator="equal">
      <formula>"MODERADO"</formula>
    </cfRule>
    <cfRule type="cellIs" dxfId="39" priority="43" operator="equal">
      <formula>"FUERTE"</formula>
    </cfRule>
  </conditionalFormatting>
  <conditionalFormatting sqref="N26 N28">
    <cfRule type="expression" dxfId="38" priority="37">
      <formula>N26="EXTREMO"</formula>
    </cfRule>
    <cfRule type="expression" dxfId="37" priority="38">
      <formula>N26="MODERADO"</formula>
    </cfRule>
    <cfRule type="expression" dxfId="36" priority="39">
      <formula>N26="ALTO"</formula>
    </cfRule>
    <cfRule type="expression" dxfId="35" priority="40">
      <formula>N26="BAJO"</formula>
    </cfRule>
  </conditionalFormatting>
  <conditionalFormatting sqref="N26 N28">
    <cfRule type="expression" dxfId="34" priority="36">
      <formula>N26=" "</formula>
    </cfRule>
  </conditionalFormatting>
  <conditionalFormatting sqref="AL26 AL28">
    <cfRule type="expression" dxfId="33" priority="32">
      <formula>AL26="EXTREMO"</formula>
    </cfRule>
    <cfRule type="expression" dxfId="32" priority="33">
      <formula>AL26="MODERADO"</formula>
    </cfRule>
    <cfRule type="expression" dxfId="31" priority="34">
      <formula>AL26="ALTO"</formula>
    </cfRule>
    <cfRule type="expression" dxfId="30" priority="35">
      <formula>AL26="BAJO"</formula>
    </cfRule>
  </conditionalFormatting>
  <conditionalFormatting sqref="AL26 AL28">
    <cfRule type="expression" dxfId="29" priority="31">
      <formula>AL26=" "</formula>
    </cfRule>
  </conditionalFormatting>
  <conditionalFormatting sqref="N30">
    <cfRule type="expression" dxfId="28" priority="27">
      <formula>N30="EXTREMO"</formula>
    </cfRule>
    <cfRule type="expression" dxfId="27" priority="28">
      <formula>N30="MODERADO"</formula>
    </cfRule>
    <cfRule type="expression" dxfId="26" priority="29">
      <formula>N30="ALTO"</formula>
    </cfRule>
    <cfRule type="expression" dxfId="25" priority="30">
      <formula>N30="BAJO"</formula>
    </cfRule>
  </conditionalFormatting>
  <conditionalFormatting sqref="N30">
    <cfRule type="expression" dxfId="24" priority="26">
      <formula>N30=" "</formula>
    </cfRule>
  </conditionalFormatting>
  <conditionalFormatting sqref="AL30">
    <cfRule type="expression" dxfId="23" priority="22">
      <formula>AL30="EXTREMO"</formula>
    </cfRule>
    <cfRule type="expression" dxfId="22" priority="23">
      <formula>AL30="MODERADO"</formula>
    </cfRule>
    <cfRule type="expression" dxfId="21" priority="24">
      <formula>AL30="ALTO"</formula>
    </cfRule>
    <cfRule type="expression" dxfId="20" priority="25">
      <formula>AL30="BAJO"</formula>
    </cfRule>
  </conditionalFormatting>
  <conditionalFormatting sqref="AL30">
    <cfRule type="expression" dxfId="19" priority="21">
      <formula>AL30=" "</formula>
    </cfRule>
  </conditionalFormatting>
  <conditionalFormatting sqref="N35">
    <cfRule type="expression" dxfId="18" priority="17">
      <formula>N35="EXTREMO"</formula>
    </cfRule>
    <cfRule type="expression" dxfId="17" priority="18">
      <formula>N35="MODERADO"</formula>
    </cfRule>
    <cfRule type="expression" dxfId="16" priority="19">
      <formula>N35="ALTO"</formula>
    </cfRule>
    <cfRule type="expression" dxfId="15" priority="20">
      <formula>N35="BAJO"</formula>
    </cfRule>
  </conditionalFormatting>
  <conditionalFormatting sqref="N35">
    <cfRule type="expression" dxfId="14" priority="16">
      <formula>N35=" "</formula>
    </cfRule>
  </conditionalFormatting>
  <conditionalFormatting sqref="AM35">
    <cfRule type="expression" dxfId="13" priority="12">
      <formula>AM35="EXTREMO"</formula>
    </cfRule>
    <cfRule type="expression" dxfId="12" priority="13">
      <formula>AM35="MODERADO"</formula>
    </cfRule>
    <cfRule type="expression" dxfId="11" priority="14">
      <formula>AM35="ALTO"</formula>
    </cfRule>
    <cfRule type="expression" dxfId="10" priority="15">
      <formula>AM35="BAJO"</formula>
    </cfRule>
  </conditionalFormatting>
  <conditionalFormatting sqref="AM35">
    <cfRule type="expression" dxfId="9" priority="11">
      <formula>AM35=" "</formula>
    </cfRule>
  </conditionalFormatting>
  <conditionalFormatting sqref="N39">
    <cfRule type="expression" dxfId="8" priority="7">
      <formula>N39="EXTREMO"</formula>
    </cfRule>
    <cfRule type="expression" dxfId="7" priority="8">
      <formula>N39="MODERADO"</formula>
    </cfRule>
    <cfRule type="expression" dxfId="6" priority="9">
      <formula>N39="ALTO"</formula>
    </cfRule>
    <cfRule type="expression" dxfId="5" priority="10">
      <formula>N39="BAJO"</formula>
    </cfRule>
  </conditionalFormatting>
  <conditionalFormatting sqref="N39">
    <cfRule type="expression" dxfId="4" priority="6">
      <formula>N39=" "</formula>
    </cfRule>
  </conditionalFormatting>
  <conditionalFormatting sqref="AL39">
    <cfRule type="expression" dxfId="3" priority="2">
      <formula>AL39="EXTREMO"</formula>
    </cfRule>
    <cfRule type="expression" dxfId="2" priority="3">
      <formula>AL39="MODERADO"</formula>
    </cfRule>
    <cfRule type="expression" dxfId="1" priority="4">
      <formula>AL39="ALTO"</formula>
    </cfRule>
    <cfRule type="expression" dxfId="0" priority="5">
      <formula>AL39="BAJO"</formula>
    </cfRule>
  </conditionalFormatting>
  <dataValidations count="3">
    <dataValidation allowBlank="1" showInputMessage="1" showErrorMessage="1" prompt="En la Guía del DAFP añaden campo de descripción del riesgo. Es la suma de Riesgo + Causas + Consecuencias: Complejiza el asunto" sqref="F5"/>
    <dataValidation allowBlank="1" showInputMessage="1" showErrorMessage="1" prompt="Estructura:_x000a__x000a_Responsable +_x000a_Periodicidad +_x000a_Proposito +_x000a_Cómo se realiza +_x000a_Qué pasa con las desviaciones +_x000a_Evidencia" sqref="O6:O7"/>
    <dataValidation allowBlank="1" showInputMessage="1" showErrorMessage="1" prompt="Se incluyó a partír de la Guía de riesgos borrador del DAFP" sqref="S7"/>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7">
        <x14:dataValidation type="list" allowBlank="1" showInputMessage="1" showErrorMessage="1">
          <x14:formula1>
            <xm:f>[1]Listas!#REF!</xm:f>
          </x14:formula1>
          <xm:sqref>J8 AN8 AE8 AC8 AA8 Y8 W8 U8 P8:S8</xm:sqref>
        </x14:dataValidation>
        <x14:dataValidation type="list" allowBlank="1" showInputMessage="1" showErrorMessage="1" prompt="1 - Insignificante_x000a_2 - Menor_x000a_3 - Moderado_x000a_4 - Mayor_x000a_5 - Catastrófico">
          <x14:formula1>
            <xm:f>[1]Listas!#REF!</xm:f>
          </x14:formula1>
          <xm:sqref>AK8 L8</xm:sqref>
        </x14:dataValidation>
        <x14:dataValidation type="list" allowBlank="1" showInputMessage="1" showErrorMessage="1" prompt="1 - Rara vez_x000a_2 - Improbable_x000a_3 - Posible_x000a_4 - Probable_x000a_5 - Casi Seguro">
          <x14:formula1>
            <xm:f>[1]Listas!#REF!</xm:f>
          </x14:formula1>
          <xm:sqref>AJ8 K8</xm:sqref>
        </x14:dataValidation>
        <x14:dataValidation type="list" allowBlank="1" showInputMessage="1" showErrorMessage="1" prompt="1 - Rara vez_x000a_2 - Improbable_x000a_3 - Posible_x000a_4 - Probable_x000a_5 - Casi Seguro">
          <x14:formula1>
            <xm:f>[2]Listas!#REF!</xm:f>
          </x14:formula1>
          <xm:sqref>K9 AJ9</xm:sqref>
        </x14:dataValidation>
        <x14:dataValidation type="list" allowBlank="1" showInputMessage="1" showErrorMessage="1" prompt="1 - Insignificante_x000a_2 - Menor_x000a_3 - Moderado_x000a_4 - Mayor_x000a_5 - Catastrófico">
          <x14:formula1>
            <xm:f>[2]Listas!#REF!</xm:f>
          </x14:formula1>
          <xm:sqref>L9 AK9</xm:sqref>
        </x14:dataValidation>
        <x14:dataValidation type="list" allowBlank="1" showInputMessage="1" showErrorMessage="1">
          <x14:formula1>
            <xm:f>[2]Listas!#REF!</xm:f>
          </x14:formula1>
          <xm:sqref>J9 AN9 D9:E9 AE9 AC9 AA9 Y9 W9 U9 P9:S9</xm:sqref>
        </x14:dataValidation>
        <x14:dataValidation type="list" allowBlank="1" showInputMessage="1" showErrorMessage="1">
          <x14:formula1>
            <xm:f>[3]Listas!#REF!</xm:f>
          </x14:formula1>
          <xm:sqref>E10:E13</xm:sqref>
        </x14:dataValidation>
        <x14:dataValidation type="list" allowBlank="1" showInputMessage="1" showErrorMessage="1">
          <x14:formula1>
            <xm:f>[3]Listas!#REF!</xm:f>
          </x14:formula1>
          <xm:sqref>D10:D13</xm:sqref>
        </x14:dataValidation>
        <x14:dataValidation type="list" allowBlank="1" showInputMessage="1" showErrorMessage="1">
          <x14:formula1>
            <xm:f>[3]Listas!#REF!</xm:f>
          </x14:formula1>
          <xm:sqref>AM10:AM13</xm:sqref>
        </x14:dataValidation>
        <x14:dataValidation type="list" allowBlank="1" showInputMessage="1" showErrorMessage="1">
          <x14:formula1>
            <xm:f>[3]Listas!#REF!</xm:f>
          </x14:formula1>
          <xm:sqref>R10 Q10:Q13</xm:sqref>
        </x14:dataValidation>
        <x14:dataValidation type="list" allowBlank="1" showInputMessage="1" showErrorMessage="1" prompt="1 - Insignificante_x000a_2 - Menor_x000a_3 - Moderado_x000a_4 - Mayor_x000a_5 - Catastrófico">
          <x14:formula1>
            <xm:f>[3]Listas!#REF!</xm:f>
          </x14:formula1>
          <xm:sqref>AJ10 L10</xm:sqref>
        </x14:dataValidation>
        <x14:dataValidation type="list" allowBlank="1" showInputMessage="1" showErrorMessage="1" prompt="1 - Rara vez_x000a_2 - Improbable_x000a_3 - Posible_x000a_4 - Probable_x000a_5 - Casi Seguro">
          <x14:formula1>
            <xm:f>[3]Listas!#REF!</xm:f>
          </x14:formula1>
          <xm:sqref>AI10 K10</xm:sqref>
        </x14:dataValidation>
        <x14:dataValidation type="list" allowBlank="1" showInputMessage="1" showErrorMessage="1">
          <x14:formula1>
            <xm:f>[3]Listas!#REF!</xm:f>
          </x14:formula1>
          <xm:sqref>P10:P13</xm:sqref>
        </x14:dataValidation>
        <x14:dataValidation type="list" allowBlank="1" showInputMessage="1" showErrorMessage="1">
          <x14:formula1>
            <xm:f>[3]Listas!#REF!</xm:f>
          </x14:formula1>
          <xm:sqref>S10</xm:sqref>
        </x14:dataValidation>
        <x14:dataValidation type="list" allowBlank="1" showInputMessage="1" showErrorMessage="1">
          <x14:formula1>
            <xm:f>[3]Listas!#REF!</xm:f>
          </x14:formula1>
          <xm:sqref>U10</xm:sqref>
        </x14:dataValidation>
        <x14:dataValidation type="list" allowBlank="1" showInputMessage="1" showErrorMessage="1">
          <x14:formula1>
            <xm:f>[3]Listas!#REF!</xm:f>
          </x14:formula1>
          <xm:sqref>W10</xm:sqref>
        </x14:dataValidation>
        <x14:dataValidation type="list" allowBlank="1" showInputMessage="1" showErrorMessage="1">
          <x14:formula1>
            <xm:f>[3]Listas!#REF!</xm:f>
          </x14:formula1>
          <xm:sqref>Y10</xm:sqref>
        </x14:dataValidation>
        <x14:dataValidation type="list" allowBlank="1" showInputMessage="1" showErrorMessage="1">
          <x14:formula1>
            <xm:f>[3]Listas!#REF!</xm:f>
          </x14:formula1>
          <xm:sqref>AA10</xm:sqref>
        </x14:dataValidation>
        <x14:dataValidation type="list" allowBlank="1" showInputMessage="1" showErrorMessage="1">
          <x14:formula1>
            <xm:f>[3]Listas!#REF!</xm:f>
          </x14:formula1>
          <xm:sqref>AC10</xm:sqref>
        </x14:dataValidation>
        <x14:dataValidation type="list" allowBlank="1" showInputMessage="1" showErrorMessage="1">
          <x14:formula1>
            <xm:f>[3]Listas!#REF!</xm:f>
          </x14:formula1>
          <xm:sqref>AE10</xm:sqref>
        </x14:dataValidation>
        <x14:dataValidation type="list" allowBlank="1" showInputMessage="1" showErrorMessage="1">
          <x14:formula1>
            <xm:f>[3]Listas!#REF!</xm:f>
          </x14:formula1>
          <xm:sqref>J10</xm:sqref>
        </x14:dataValidation>
        <x14:dataValidation type="list" allowBlank="1" showInputMessage="1" showErrorMessage="1">
          <x14:formula1>
            <xm:f>[4]Listas!#REF!</xm:f>
          </x14:formula1>
          <xm:sqref>E14:E15</xm:sqref>
        </x14:dataValidation>
        <x14:dataValidation type="list" allowBlank="1" showInputMessage="1" showErrorMessage="1">
          <x14:formula1>
            <xm:f>[4]Listas!#REF!</xm:f>
          </x14:formula1>
          <xm:sqref>D14:D15</xm:sqref>
        </x14:dataValidation>
        <x14:dataValidation type="list" allowBlank="1" showInputMessage="1" showErrorMessage="1">
          <x14:formula1>
            <xm:f>[4]Listas!#REF!</xm:f>
          </x14:formula1>
          <xm:sqref>AM14</xm:sqref>
        </x14:dataValidation>
        <x14:dataValidation type="list" allowBlank="1" showInputMessage="1" showErrorMessage="1">
          <x14:formula1>
            <xm:f>[4]Listas!#REF!</xm:f>
          </x14:formula1>
          <xm:sqref>Q14:R14</xm:sqref>
        </x14:dataValidation>
        <x14:dataValidation type="list" allowBlank="1" showInputMessage="1" showErrorMessage="1" prompt="1 - Insignificante_x000a_2 - Menor_x000a_3 - Moderado_x000a_4 - Mayor_x000a_5 - Catastrófico">
          <x14:formula1>
            <xm:f>[4]Listas!#REF!</xm:f>
          </x14:formula1>
          <xm:sqref>L14 AJ14</xm:sqref>
        </x14:dataValidation>
        <x14:dataValidation type="list" allowBlank="1" showInputMessage="1" showErrorMessage="1" prompt="1 - Rara vez_x000a_2 - Improbable_x000a_3 - Posible_x000a_4 - Probable_x000a_5 - Casi Seguro">
          <x14:formula1>
            <xm:f>[4]Listas!#REF!</xm:f>
          </x14:formula1>
          <xm:sqref>K14 AI14</xm:sqref>
        </x14:dataValidation>
        <x14:dataValidation type="list" allowBlank="1" showInputMessage="1" showErrorMessage="1">
          <x14:formula1>
            <xm:f>[4]Listas!#REF!</xm:f>
          </x14:formula1>
          <xm:sqref>P14</xm:sqref>
        </x14:dataValidation>
        <x14:dataValidation type="list" allowBlank="1" showInputMessage="1" showErrorMessage="1">
          <x14:formula1>
            <xm:f>[4]Listas!#REF!</xm:f>
          </x14:formula1>
          <xm:sqref>S14</xm:sqref>
        </x14:dataValidation>
        <x14:dataValidation type="list" allowBlank="1" showInputMessage="1" showErrorMessage="1">
          <x14:formula1>
            <xm:f>[4]Listas!#REF!</xm:f>
          </x14:formula1>
          <xm:sqref>U14</xm:sqref>
        </x14:dataValidation>
        <x14:dataValidation type="list" allowBlank="1" showInputMessage="1" showErrorMessage="1">
          <x14:formula1>
            <xm:f>[4]Listas!#REF!</xm:f>
          </x14:formula1>
          <xm:sqref>W14</xm:sqref>
        </x14:dataValidation>
        <x14:dataValidation type="list" allowBlank="1" showInputMessage="1" showErrorMessage="1">
          <x14:formula1>
            <xm:f>[4]Listas!#REF!</xm:f>
          </x14:formula1>
          <xm:sqref>Y14</xm:sqref>
        </x14:dataValidation>
        <x14:dataValidation type="list" allowBlank="1" showInputMessage="1" showErrorMessage="1">
          <x14:formula1>
            <xm:f>[4]Listas!#REF!</xm:f>
          </x14:formula1>
          <xm:sqref>AA14</xm:sqref>
        </x14:dataValidation>
        <x14:dataValidation type="list" allowBlank="1" showInputMessage="1" showErrorMessage="1">
          <x14:formula1>
            <xm:f>[4]Listas!#REF!</xm:f>
          </x14:formula1>
          <xm:sqref>AC14</xm:sqref>
        </x14:dataValidation>
        <x14:dataValidation type="list" allowBlank="1" showInputMessage="1" showErrorMessage="1">
          <x14:formula1>
            <xm:f>[4]Listas!#REF!</xm:f>
          </x14:formula1>
          <xm:sqref>AE14</xm:sqref>
        </x14:dataValidation>
        <x14:dataValidation type="list" allowBlank="1" showInputMessage="1" showErrorMessage="1">
          <x14:formula1>
            <xm:f>[4]Listas!#REF!</xm:f>
          </x14:formula1>
          <xm:sqref>J14</xm:sqref>
        </x14:dataValidation>
        <x14:dataValidation type="list" allowBlank="1" showInputMessage="1" showErrorMessage="1">
          <x14:formula1>
            <xm:f>[5]Listas!#REF!</xm:f>
          </x14:formula1>
          <xm:sqref>E16:E19</xm:sqref>
        </x14:dataValidation>
        <x14:dataValidation type="list" allowBlank="1" showInputMessage="1" showErrorMessage="1">
          <x14:formula1>
            <xm:f>[5]Listas!#REF!</xm:f>
          </x14:formula1>
          <xm:sqref>D16:D19</xm:sqref>
        </x14:dataValidation>
        <x14:dataValidation type="list" allowBlank="1" showInputMessage="1" showErrorMessage="1">
          <x14:formula1>
            <xm:f>[5]Listas!#REF!</xm:f>
          </x14:formula1>
          <xm:sqref>AM16</xm:sqref>
        </x14:dataValidation>
        <x14:dataValidation type="list" allowBlank="1" showInputMessage="1" showErrorMessage="1">
          <x14:formula1>
            <xm:f>[5]Listas!#REF!</xm:f>
          </x14:formula1>
          <xm:sqref>Q16:R16</xm:sqref>
        </x14:dataValidation>
        <x14:dataValidation type="list" allowBlank="1" showInputMessage="1" showErrorMessage="1" prompt="1 - Insignificante_x000a_2 - Menor_x000a_3 - Moderado_x000a_4 - Mayor_x000a_5 - Catastrófico">
          <x14:formula1>
            <xm:f>[5]Listas!#REF!</xm:f>
          </x14:formula1>
          <xm:sqref>AJ16 L16</xm:sqref>
        </x14:dataValidation>
        <x14:dataValidation type="list" allowBlank="1" showInputMessage="1" showErrorMessage="1" prompt="1 - Rara vez_x000a_2 - Improbable_x000a_3 - Posible_x000a_4 - Probable_x000a_5 - Casi Seguro">
          <x14:formula1>
            <xm:f>[5]Listas!#REF!</xm:f>
          </x14:formula1>
          <xm:sqref>AI16 K16</xm:sqref>
        </x14:dataValidation>
        <x14:dataValidation type="list" allowBlank="1" showInputMessage="1" showErrorMessage="1">
          <x14:formula1>
            <xm:f>[5]Listas!#REF!</xm:f>
          </x14:formula1>
          <xm:sqref>P16</xm:sqref>
        </x14:dataValidation>
        <x14:dataValidation type="list" allowBlank="1" showInputMessage="1" showErrorMessage="1">
          <x14:formula1>
            <xm:f>[5]Listas!#REF!</xm:f>
          </x14:formula1>
          <xm:sqref>S16</xm:sqref>
        </x14:dataValidation>
        <x14:dataValidation type="list" allowBlank="1" showInputMessage="1" showErrorMessage="1">
          <x14:formula1>
            <xm:f>[5]Listas!#REF!</xm:f>
          </x14:formula1>
          <xm:sqref>U16</xm:sqref>
        </x14:dataValidation>
        <x14:dataValidation type="list" allowBlank="1" showInputMessage="1" showErrorMessage="1">
          <x14:formula1>
            <xm:f>[5]Listas!#REF!</xm:f>
          </x14:formula1>
          <xm:sqref>W16</xm:sqref>
        </x14:dataValidation>
        <x14:dataValidation type="list" allowBlank="1" showInputMessage="1" showErrorMessage="1">
          <x14:formula1>
            <xm:f>[5]Listas!#REF!</xm:f>
          </x14:formula1>
          <xm:sqref>Y16</xm:sqref>
        </x14:dataValidation>
        <x14:dataValidation type="list" allowBlank="1" showInputMessage="1" showErrorMessage="1">
          <x14:formula1>
            <xm:f>[5]Listas!#REF!</xm:f>
          </x14:formula1>
          <xm:sqref>AA16</xm:sqref>
        </x14:dataValidation>
        <x14:dataValidation type="list" allowBlank="1" showInputMessage="1" showErrorMessage="1">
          <x14:formula1>
            <xm:f>[5]Listas!#REF!</xm:f>
          </x14:formula1>
          <xm:sqref>AC16</xm:sqref>
        </x14:dataValidation>
        <x14:dataValidation type="list" allowBlank="1" showInputMessage="1" showErrorMessage="1">
          <x14:formula1>
            <xm:f>[5]Listas!#REF!</xm:f>
          </x14:formula1>
          <xm:sqref>AE16</xm:sqref>
        </x14:dataValidation>
        <x14:dataValidation type="list" allowBlank="1" showInputMessage="1" showErrorMessage="1">
          <x14:formula1>
            <xm:f>[5]Listas!#REF!</xm:f>
          </x14:formula1>
          <xm:sqref>J16</xm:sqref>
        </x14:dataValidation>
        <x14:dataValidation type="list" allowBlank="1" showInputMessage="1" showErrorMessage="1" prompt="1 - Rara vez_x000a_2 - Improbable_x000a_3 - Posible_x000a_4 - Probable_x000a_5 - Casi Seguro">
          <x14:formula1>
            <xm:f>[6]Listas!#REF!</xm:f>
          </x14:formula1>
          <xm:sqref>K20 AJ20</xm:sqref>
        </x14:dataValidation>
        <x14:dataValidation type="list" allowBlank="1" showInputMessage="1" showErrorMessage="1" prompt="1 - Insignificante_x000a_2 - Menor_x000a_3 - Moderado_x000a_4 - Mayor_x000a_5 - Catastrófico">
          <x14:formula1>
            <xm:f>[6]Listas!#REF!</xm:f>
          </x14:formula1>
          <xm:sqref>L20 AK20</xm:sqref>
        </x14:dataValidation>
        <x14:dataValidation type="list" allowBlank="1" showInputMessage="1" showErrorMessage="1">
          <x14:formula1>
            <xm:f>[6]Listas!#REF!</xm:f>
          </x14:formula1>
          <xm:sqref>J20 AN20 D20:E20 AE20 AC20 AA20 Y20 W20 U20 P20:S20 AN22</xm:sqref>
        </x14:dataValidation>
        <x14:dataValidation type="list" allowBlank="1" showInputMessage="1" showErrorMessage="1">
          <x14:formula1>
            <xm:f>[7]Listas!#REF!</xm:f>
          </x14:formula1>
          <xm:sqref>AM21 J21 D21:E21 AE21 AC21 AA21 Y21 W21 U21 P21:S21</xm:sqref>
        </x14:dataValidation>
        <x14:dataValidation type="list" allowBlank="1" showInputMessage="1" showErrorMessage="1" prompt="1 - Insignificante_x000a_2 - Menor_x000a_3 - Moderado_x000a_4 - Mayor_x000a_5 - Catastrófico">
          <x14:formula1>
            <xm:f>[7]Listas!#REF!</xm:f>
          </x14:formula1>
          <xm:sqref>AJ21 L21</xm:sqref>
        </x14:dataValidation>
        <x14:dataValidation type="list" allowBlank="1" showInputMessage="1" showErrorMessage="1" prompt="1 - Rara vez_x000a_2 - Improbable_x000a_3 - Posible_x000a_4 - Probable_x000a_5 - Casi Seguro">
          <x14:formula1>
            <xm:f>[7]Listas!#REF!</xm:f>
          </x14:formula1>
          <xm:sqref>AI21 K21</xm:sqref>
        </x14:dataValidation>
        <x14:dataValidation type="list" allowBlank="1" showInputMessage="1" showErrorMessage="1" prompt="1 - Rara vez_x000a_2 - Improbable_x000a_3 - Posible_x000a_4 - Probable_x000a_5 - Casi Seguro">
          <x14:formula1>
            <xm:f>[8]Listas!#REF!</xm:f>
          </x14:formula1>
          <xm:sqref>K22 AJ22</xm:sqref>
        </x14:dataValidation>
        <x14:dataValidation type="list" allowBlank="1" showInputMessage="1" showErrorMessage="1" prompt="1 - Insignificante_x000a_2 - Menor_x000a_3 - Moderado_x000a_4 - Mayor_x000a_5 - Catastrófico">
          <x14:formula1>
            <xm:f>[8]Listas!#REF!</xm:f>
          </x14:formula1>
          <xm:sqref>L22 AK22</xm:sqref>
        </x14:dataValidation>
        <x14:dataValidation type="list" allowBlank="1" showInputMessage="1" showErrorMessage="1">
          <x14:formula1>
            <xm:f>[8]Listas!#REF!</xm:f>
          </x14:formula1>
          <xm:sqref>J22 D22:E22 AE22 AC22 AA22 Y22 W22 U22 P22:S22</xm:sqref>
        </x14:dataValidation>
        <x14:dataValidation type="list" allowBlank="1" showInputMessage="1" showErrorMessage="1" prompt="1 - Rara vez_x000a_2 - Improbable_x000a_3 - Posible_x000a_4 - Probable_x000a_5 - Casi Seguro">
          <x14:formula1>
            <xm:f>[9]Listas!#REF!</xm:f>
          </x14:formula1>
          <xm:sqref>K25 K23 AJ23</xm:sqref>
        </x14:dataValidation>
        <x14:dataValidation type="list" allowBlank="1" showInputMessage="1" showErrorMessage="1" prompt="1 - Insignificante_x000a_2 - Menor_x000a_3 - Moderado_x000a_4 - Mayor_x000a_5 - Catastrófico">
          <x14:formula1>
            <xm:f>[9]Listas!#REF!</xm:f>
          </x14:formula1>
          <xm:sqref>L25 L23 AK23 AJ25:AK25</xm:sqref>
        </x14:dataValidation>
        <x14:dataValidation type="list" allowBlank="1" showInputMessage="1" showErrorMessage="1">
          <x14:formula1>
            <xm:f>[9]Listas!#REF!</xm:f>
          </x14:formula1>
          <xm:sqref>J23 J25 AN23 AN25 D23:E25 AE23:AE25 AC23:AC25 AA23:AA25 Y23:Y25 W23:W25 U23:U25 P23:S25</xm:sqref>
        </x14:dataValidation>
        <x14:dataValidation type="list" allowBlank="1" showInputMessage="1" showErrorMessage="1" prompt="1 - Rara vez_x000a_2 - Improbable_x000a_3 - Posible_x000a_4 - Probable_x000a_5 - Casi Seguro">
          <x14:formula1>
            <xm:f>[10]Listas!#REF!</xm:f>
          </x14:formula1>
          <xm:sqref>AI26:AI29 K26 K28:K29</xm:sqref>
        </x14:dataValidation>
        <x14:dataValidation type="list" allowBlank="1" showInputMessage="1" showErrorMessage="1" prompt="1 - Insignificante_x000a_2 - Menor_x000a_3 - Moderado_x000a_4 - Mayor_x000a_5 - Catastrófico">
          <x14:formula1>
            <xm:f>[10]Listas!#REF!</xm:f>
          </x14:formula1>
          <xm:sqref>AJ26:AJ29 L26:L29</xm:sqref>
        </x14:dataValidation>
        <x14:dataValidation type="list" allowBlank="1" showInputMessage="1" showErrorMessage="1">
          <x14:formula1>
            <xm:f>[10]Listas!#REF!</xm:f>
          </x14:formula1>
          <xm:sqref>J26 J28:J29 D26:E29 AM26:AM29 AE26:AE28 AC26:AC28 AA26:AA28 Y26:Y28 W26:W28 U26:U28 P26:S28</xm:sqref>
        </x14:dataValidation>
        <x14:dataValidation type="list" allowBlank="1" showInputMessage="1" showErrorMessage="1" prompt="1 - Rara vez_x000a_2 - Improbable_x000a_3 - Posible_x000a_4 - Probable_x000a_5 - Casi Seguro">
          <x14:formula1>
            <xm:f>[11]Listas!#REF!</xm:f>
          </x14:formula1>
          <xm:sqref>K30:K34 AI30:AI34</xm:sqref>
        </x14:dataValidation>
        <x14:dataValidation type="list" allowBlank="1" showInputMessage="1" showErrorMessage="1" prompt="1 - Insignificante_x000a_2 - Menor_x000a_3 - Moderado_x000a_4 - Mayor_x000a_5 - Catastrófico">
          <x14:formula1>
            <xm:f>[11]Listas!#REF!</xm:f>
          </x14:formula1>
          <xm:sqref>L30:L34 AJ30:AJ34</xm:sqref>
        </x14:dataValidation>
        <x14:dataValidation type="list" allowBlank="1" showInputMessage="1" showErrorMessage="1">
          <x14:formula1>
            <xm:f>[11]Listas!#REF!</xm:f>
          </x14:formula1>
          <xm:sqref>AM30:AM34 J30:J34 D30:E34 AE30:AE34 AC30:AC34 AA30:AA34 Y30:Y34 W30:W34 U30:U34 P30:S34</xm:sqref>
        </x14:dataValidation>
        <x14:dataValidation type="list" allowBlank="1" showInputMessage="1" showErrorMessage="1">
          <x14:formula1>
            <xm:f>[12]Listas!#REF!</xm:f>
          </x14:formula1>
          <xm:sqref>D35:D37 J35 P35:S37 AE35:AE37 AC35:AC37 AA35:AA37 Y35:Y37 W35:W37 U35:U37 AN35</xm:sqref>
        </x14:dataValidation>
        <x14:dataValidation type="list" allowBlank="1" showInputMessage="1" showErrorMessage="1" prompt="1 - Insignificante_x000a_2 - Menor_x000a_3 - Moderado_x000a_4 - Mayor_x000a_5 - Catastrófico">
          <x14:formula1>
            <xm:f>[12]Listas!#REF!</xm:f>
          </x14:formula1>
          <xm:sqref>L35 AK35</xm:sqref>
        </x14:dataValidation>
        <x14:dataValidation type="list" allowBlank="1" showInputMessage="1" showErrorMessage="1" prompt="1 - Rara vez_x000a_2 - Improbable_x000a_3 - Posible_x000a_4 - Probable_x000a_5 - Casi Seguro">
          <x14:formula1>
            <xm:f>[12]Listas!#REF!</xm:f>
          </x14:formula1>
          <xm:sqref>K35 AI35:AJ35</xm:sqref>
        </x14:dataValidation>
        <x14:dataValidation type="list" allowBlank="1" showInputMessage="1" showErrorMessage="1">
          <x14:formula1>
            <xm:f>[13]Listas!#REF!</xm:f>
          </x14:formula1>
          <xm:sqref>AM39:AM43</xm:sqref>
        </x14:dataValidation>
        <x14:dataValidation type="list" allowBlank="1" showInputMessage="1" showErrorMessage="1">
          <x14:formula1>
            <xm:f>[13]Listas!#REF!</xm:f>
          </x14:formula1>
          <xm:sqref>Q39:R43</xm:sqref>
        </x14:dataValidation>
        <x14:dataValidation type="list" allowBlank="1" showInputMessage="1" showErrorMessage="1" prompt="1 - Insignificante_x000a_2 - Menor_x000a_3 - Moderado_x000a_4 - Mayor_x000a_5 - Catastrófico">
          <x14:formula1>
            <xm:f>[13]Listas!#REF!</xm:f>
          </x14:formula1>
          <xm:sqref>L39:L43 AJ39:AJ43</xm:sqref>
        </x14:dataValidation>
        <x14:dataValidation type="list" allowBlank="1" showInputMessage="1" showErrorMessage="1" prompt="1 - Rara vez_x000a_2 - Improbable_x000a_3 - Posible_x000a_4 - Probable_x000a_5 - Casi Seguro">
          <x14:formula1>
            <xm:f>[13]Listas!#REF!</xm:f>
          </x14:formula1>
          <xm:sqref>K39:K43 AI39:AI43</xm:sqref>
        </x14:dataValidation>
        <x14:dataValidation type="list" allowBlank="1" showInputMessage="1" showErrorMessage="1">
          <x14:formula1>
            <xm:f>[13]Listas!#REF!</xm:f>
          </x14:formula1>
          <xm:sqref>P39:P43</xm:sqref>
        </x14:dataValidation>
        <x14:dataValidation type="list" allowBlank="1" showInputMessage="1" showErrorMessage="1">
          <x14:formula1>
            <xm:f>[13]Listas!#REF!</xm:f>
          </x14:formula1>
          <xm:sqref>S39:S43</xm:sqref>
        </x14:dataValidation>
        <x14:dataValidation type="list" allowBlank="1" showInputMessage="1" showErrorMessage="1">
          <x14:formula1>
            <xm:f>[13]Listas!#REF!</xm:f>
          </x14:formula1>
          <xm:sqref>U39:U43</xm:sqref>
        </x14:dataValidation>
        <x14:dataValidation type="list" allowBlank="1" showInputMessage="1" showErrorMessage="1">
          <x14:formula1>
            <xm:f>[13]Listas!#REF!</xm:f>
          </x14:formula1>
          <xm:sqref>W39:W43</xm:sqref>
        </x14:dataValidation>
        <x14:dataValidation type="list" allowBlank="1" showInputMessage="1" showErrorMessage="1">
          <x14:formula1>
            <xm:f>[13]Listas!#REF!</xm:f>
          </x14:formula1>
          <xm:sqref>Y39:Y43</xm:sqref>
        </x14:dataValidation>
        <x14:dataValidation type="list" allowBlank="1" showInputMessage="1" showErrorMessage="1">
          <x14:formula1>
            <xm:f>[13]Listas!#REF!</xm:f>
          </x14:formula1>
          <xm:sqref>AA39:AA43</xm:sqref>
        </x14:dataValidation>
        <x14:dataValidation type="list" allowBlank="1" showInputMessage="1" showErrorMessage="1">
          <x14:formula1>
            <xm:f>[13]Listas!#REF!</xm:f>
          </x14:formula1>
          <xm:sqref>AC39:AC43</xm:sqref>
        </x14:dataValidation>
        <x14:dataValidation type="list" allowBlank="1" showInputMessage="1" showErrorMessage="1">
          <x14:formula1>
            <xm:f>[13]Listas!#REF!</xm:f>
          </x14:formula1>
          <xm:sqref>AE39:AE43</xm:sqref>
        </x14:dataValidation>
        <x14:dataValidation type="list" allowBlank="1" showInputMessage="1" showErrorMessage="1">
          <x14:formula1>
            <xm:f>[13]Listas!#REF!</xm:f>
          </x14:formula1>
          <xm:sqref>E39:E43</xm:sqref>
        </x14:dataValidation>
        <x14:dataValidation type="list" allowBlank="1" showInputMessage="1" showErrorMessage="1">
          <x14:formula1>
            <xm:f>[13]Listas!#REF!</xm:f>
          </x14:formula1>
          <xm:sqref>D39:D43</xm:sqref>
        </x14:dataValidation>
        <x14:dataValidation type="list" allowBlank="1" showInputMessage="1" showErrorMessage="1">
          <x14:formula1>
            <xm:f>[13]Listas!#REF!</xm:f>
          </x14:formula1>
          <xm:sqref>J39:J43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CABREJO RODRÍGUEZ</dc:creator>
  <cp:lastModifiedBy>JAIME CABREJO RODRÍGUEZ</cp:lastModifiedBy>
  <dcterms:created xsi:type="dcterms:W3CDTF">2020-01-24T19:19:13Z</dcterms:created>
  <dcterms:modified xsi:type="dcterms:W3CDTF">2020-01-24T20:54:07Z</dcterms:modified>
</cp:coreProperties>
</file>