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lanes Institucionales\2020\"/>
    </mc:Choice>
  </mc:AlternateContent>
  <bookViews>
    <workbookView xWindow="0" yWindow="0" windowWidth="12240" windowHeight="9240"/>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0">Hoja1!$A$3:$AR$40</definedName>
    <definedName name="_xlnm.Print_Titles" localSheetId="0">Hoja1!$3:$7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1" l="1"/>
  <c r="AL21" i="1" l="1"/>
  <c r="AK21" i="1"/>
  <c r="AF21" i="1"/>
  <c r="AD21" i="1"/>
  <c r="AB21" i="1"/>
  <c r="Z21" i="1"/>
  <c r="N21" i="1"/>
  <c r="M21" i="1"/>
  <c r="AG21" i="1" l="1"/>
  <c r="AH21" i="1" s="1"/>
  <c r="AL39" i="1" l="1"/>
  <c r="AK39" i="1"/>
  <c r="AF39" i="1"/>
  <c r="AD39" i="1"/>
  <c r="AB39" i="1"/>
  <c r="Z39" i="1"/>
  <c r="X39" i="1"/>
  <c r="V39" i="1"/>
  <c r="T39" i="1"/>
  <c r="N39" i="1"/>
  <c r="M39" i="1"/>
  <c r="AG39" i="1" l="1"/>
  <c r="AH39" i="1" l="1"/>
  <c r="AF37" i="1"/>
  <c r="AD37" i="1"/>
  <c r="AB37" i="1"/>
  <c r="Z37" i="1"/>
  <c r="X37" i="1"/>
  <c r="V37" i="1"/>
  <c r="T37" i="1"/>
  <c r="AF36" i="1"/>
  <c r="AD36" i="1"/>
  <c r="AB36" i="1"/>
  <c r="Z36" i="1"/>
  <c r="X36" i="1"/>
  <c r="V36" i="1"/>
  <c r="T36" i="1"/>
  <c r="AL35" i="1"/>
  <c r="AK35" i="1"/>
  <c r="AF35" i="1"/>
  <c r="AD35" i="1"/>
  <c r="AB35" i="1"/>
  <c r="Z35" i="1"/>
  <c r="X35" i="1"/>
  <c r="V35" i="1"/>
  <c r="T35" i="1"/>
  <c r="N35" i="1"/>
  <c r="M35" i="1"/>
  <c r="AG37" i="1" l="1"/>
  <c r="AG35" i="1"/>
  <c r="AG36" i="1"/>
  <c r="AH35" i="1" l="1"/>
  <c r="AF34" i="1"/>
  <c r="AD34" i="1"/>
  <c r="AB34" i="1"/>
  <c r="Z34" i="1"/>
  <c r="X34" i="1"/>
  <c r="V34" i="1"/>
  <c r="T34" i="1"/>
  <c r="AF33" i="1"/>
  <c r="AD33" i="1"/>
  <c r="AB33" i="1"/>
  <c r="Z33" i="1"/>
  <c r="X33" i="1"/>
  <c r="V33" i="1"/>
  <c r="T33" i="1"/>
  <c r="AF32" i="1"/>
  <c r="AD32" i="1"/>
  <c r="AB32" i="1"/>
  <c r="Z32" i="1"/>
  <c r="X32" i="1"/>
  <c r="V32" i="1"/>
  <c r="T32" i="1"/>
  <c r="AL31" i="1"/>
  <c r="AK31" i="1"/>
  <c r="AF31" i="1"/>
  <c r="AD31" i="1"/>
  <c r="AB31" i="1"/>
  <c r="Z31" i="1"/>
  <c r="X31" i="1"/>
  <c r="V31" i="1"/>
  <c r="T31" i="1"/>
  <c r="N31" i="1"/>
  <c r="M31" i="1"/>
  <c r="AG31" i="1" l="1"/>
  <c r="AH31" i="1" s="1"/>
  <c r="AL29" i="1"/>
  <c r="AK29" i="1"/>
  <c r="AF29" i="1"/>
  <c r="AD29" i="1"/>
  <c r="AB29" i="1"/>
  <c r="Z29" i="1"/>
  <c r="X29" i="1"/>
  <c r="V29" i="1"/>
  <c r="T29" i="1"/>
  <c r="N29" i="1"/>
  <c r="M29" i="1"/>
  <c r="AF28" i="1"/>
  <c r="AD28" i="1"/>
  <c r="AB28" i="1"/>
  <c r="Z28" i="1"/>
  <c r="X28" i="1"/>
  <c r="V28" i="1"/>
  <c r="T28" i="1"/>
  <c r="AL27" i="1"/>
  <c r="AK27" i="1"/>
  <c r="AF27" i="1"/>
  <c r="AD27" i="1"/>
  <c r="AB27" i="1"/>
  <c r="Z27" i="1"/>
  <c r="X27" i="1"/>
  <c r="V27" i="1"/>
  <c r="T27" i="1"/>
  <c r="N27" i="1"/>
  <c r="M27" i="1"/>
  <c r="AG27" i="1" l="1"/>
  <c r="AG28" i="1"/>
  <c r="AG29" i="1"/>
  <c r="AH29" i="1" s="1"/>
  <c r="AL26" i="1"/>
  <c r="AK26" i="1"/>
  <c r="AF26" i="1"/>
  <c r="AD26" i="1"/>
  <c r="AB26" i="1"/>
  <c r="Z26" i="1"/>
  <c r="X26" i="1"/>
  <c r="V26" i="1"/>
  <c r="T26" i="1"/>
  <c r="N26" i="1"/>
  <c r="M26" i="1"/>
  <c r="AF25" i="1"/>
  <c r="AD25" i="1"/>
  <c r="AB25" i="1"/>
  <c r="Z25" i="1"/>
  <c r="X25" i="1"/>
  <c r="V25" i="1"/>
  <c r="T25" i="1"/>
  <c r="AL24" i="1"/>
  <c r="AK24" i="1"/>
  <c r="AF24" i="1"/>
  <c r="AD24" i="1"/>
  <c r="AB24" i="1"/>
  <c r="Z24" i="1"/>
  <c r="X24" i="1"/>
  <c r="V24" i="1"/>
  <c r="T24" i="1"/>
  <c r="N24" i="1"/>
  <c r="M24" i="1"/>
  <c r="AH27" i="1" l="1"/>
  <c r="AG24" i="1"/>
  <c r="AG25" i="1"/>
  <c r="AG26" i="1"/>
  <c r="AH26" i="1" s="1"/>
  <c r="AL23" i="1"/>
  <c r="AK23" i="1"/>
  <c r="AF23" i="1"/>
  <c r="AD23" i="1"/>
  <c r="AB23" i="1"/>
  <c r="Z23" i="1"/>
  <c r="X23" i="1"/>
  <c r="V23" i="1"/>
  <c r="T23" i="1"/>
  <c r="N23" i="1"/>
  <c r="M23" i="1"/>
  <c r="AG23" i="1" l="1"/>
  <c r="AH23" i="1" s="1"/>
  <c r="AL22" i="1"/>
  <c r="AK22" i="1"/>
  <c r="AF22" i="1"/>
  <c r="AD22" i="1"/>
  <c r="AB22" i="1"/>
  <c r="Z22" i="1"/>
  <c r="X22" i="1"/>
  <c r="V22" i="1"/>
  <c r="T22" i="1"/>
  <c r="N22" i="1"/>
  <c r="M22" i="1"/>
  <c r="AG22" i="1" l="1"/>
  <c r="AH22" i="1" s="1"/>
  <c r="AL20" i="1"/>
  <c r="AK20" i="1"/>
  <c r="AF20" i="1"/>
  <c r="AD20" i="1"/>
  <c r="AB20" i="1"/>
  <c r="Z20" i="1"/>
  <c r="X20" i="1"/>
  <c r="V20" i="1"/>
  <c r="T20" i="1"/>
  <c r="N20" i="1"/>
  <c r="M20" i="1"/>
  <c r="AG20" i="1" l="1"/>
  <c r="AH20" i="1" s="1"/>
  <c r="AL16" i="1"/>
  <c r="AK16" i="1"/>
  <c r="AF16" i="1"/>
  <c r="AD16" i="1"/>
  <c r="AB16" i="1"/>
  <c r="Z16" i="1"/>
  <c r="X16" i="1"/>
  <c r="V16" i="1"/>
  <c r="T16" i="1"/>
  <c r="N16" i="1"/>
  <c r="M16" i="1"/>
  <c r="AG16" i="1" l="1"/>
  <c r="AL14" i="1"/>
  <c r="AF14" i="1"/>
  <c r="AD14" i="1"/>
  <c r="AB14" i="1"/>
  <c r="Z14" i="1"/>
  <c r="X14" i="1"/>
  <c r="V14" i="1"/>
  <c r="T14" i="1"/>
  <c r="N14" i="1"/>
  <c r="M14" i="1"/>
  <c r="AG14" i="1" l="1"/>
  <c r="AH14" i="1" s="1"/>
  <c r="AL10" i="1"/>
  <c r="AK10" i="1"/>
  <c r="AF10" i="1"/>
  <c r="AD10" i="1"/>
  <c r="AB10" i="1"/>
  <c r="Z10" i="1"/>
  <c r="X10" i="1"/>
  <c r="V10" i="1"/>
  <c r="T10" i="1"/>
  <c r="N10" i="1"/>
  <c r="M10" i="1"/>
  <c r="AG10" i="1" l="1"/>
  <c r="AL9" i="1"/>
  <c r="AK9" i="1"/>
  <c r="AF9" i="1"/>
  <c r="AD9" i="1"/>
  <c r="AB9" i="1"/>
  <c r="Z9" i="1"/>
  <c r="X9" i="1"/>
  <c r="V9" i="1"/>
  <c r="T9" i="1"/>
  <c r="N9" i="1"/>
  <c r="M9" i="1"/>
  <c r="AG9" i="1" l="1"/>
  <c r="AH9" i="1" s="1"/>
  <c r="AL8" i="1" l="1"/>
  <c r="AF8" i="1"/>
  <c r="AD8" i="1"/>
  <c r="AB8" i="1"/>
  <c r="Z8" i="1"/>
  <c r="X8" i="1"/>
  <c r="V8" i="1"/>
  <c r="T8" i="1"/>
  <c r="N8" i="1"/>
  <c r="M8" i="1"/>
  <c r="AG8" i="1" l="1"/>
  <c r="AH8" i="1" s="1"/>
</calcChain>
</file>

<file path=xl/comments1.xml><?xml version="1.0" encoding="utf-8"?>
<comments xmlns="http://schemas.openxmlformats.org/spreadsheetml/2006/main">
  <authors>
    <author>Carolina Ramos</author>
    <author>Carmen Catalina Arango Barbaran</author>
  </authors>
  <commentList>
    <comment ref="D6"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6" authorId="1" shapeId="0">
      <text>
        <r>
          <rPr>
            <b/>
            <sz val="9"/>
            <color indexed="81"/>
            <rFont val="Tahoma"/>
            <family val="2"/>
          </rPr>
          <t xml:space="preserve">Determine si el tipo de control de detectivo o preventivo
 </t>
        </r>
      </text>
    </comment>
    <comment ref="AI6" authorId="1" shapeId="0">
      <text>
        <r>
          <rPr>
            <b/>
            <sz val="9"/>
            <color indexed="81"/>
            <rFont val="Tahoma"/>
            <family val="2"/>
          </rPr>
          <t xml:space="preserve">Analice nuevamente el nivel de probabilidad del riesgo tomando en cuenta los controles descritos. </t>
        </r>
      </text>
    </comment>
    <comment ref="AJ6"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<sst xmlns="http://schemas.openxmlformats.org/spreadsheetml/2006/main" count="529" uniqueCount="244">
  <si>
    <t>CONTEXTO ESTRATÉGICO</t>
  </si>
  <si>
    <t>IDENTIFICACIÓN DEL RIESGO</t>
  </si>
  <si>
    <t>CALIFICACIÓN DEL RIESGO INHERENTE</t>
  </si>
  <si>
    <t>VALORACIÓN DEL RIESGO</t>
  </si>
  <si>
    <t xml:space="preserve">ANALISIS DE RIESGO RESIDUAL </t>
  </si>
  <si>
    <t>PLAN DE TRATAMIENTO</t>
  </si>
  <si>
    <t>No. de Riesgo</t>
  </si>
  <si>
    <t>Activo 
(Aplica para los riesgos de Seguridad de la Información)</t>
  </si>
  <si>
    <t xml:space="preserve">Factores </t>
  </si>
  <si>
    <t xml:space="preserve">Debilidad / Amenaza </t>
  </si>
  <si>
    <t>Causas / Vulnerabilidades</t>
  </si>
  <si>
    <t>Riesgo</t>
  </si>
  <si>
    <t>Consecuencia(s)</t>
  </si>
  <si>
    <t xml:space="preserve">Tipo de riesgo </t>
  </si>
  <si>
    <t xml:space="preserve">Probabilidad </t>
  </si>
  <si>
    <t>Impacto</t>
  </si>
  <si>
    <t xml:space="preserve">Riesgo Inherente </t>
  </si>
  <si>
    <t>Descripción del Control</t>
  </si>
  <si>
    <t xml:space="preserve">Tipo de Control </t>
  </si>
  <si>
    <t>El control mitiga la probabilidad</t>
  </si>
  <si>
    <t>El control mitiga el impacto</t>
  </si>
  <si>
    <t xml:space="preserve">Calificación del Control </t>
  </si>
  <si>
    <t xml:space="preserve">Total Calificación del Control </t>
  </si>
  <si>
    <t>Promedio</t>
  </si>
  <si>
    <t xml:space="preserve">Probabilidad 
Residual </t>
  </si>
  <si>
    <t>Impacto 
Residual</t>
  </si>
  <si>
    <t xml:space="preserve">Riesgo Residual </t>
  </si>
  <si>
    <t xml:space="preserve">Opciones de manejo </t>
  </si>
  <si>
    <t>Actividad</t>
  </si>
  <si>
    <t>Soporte</t>
  </si>
  <si>
    <t>Responsable</t>
  </si>
  <si>
    <t>Tiempo</t>
  </si>
  <si>
    <t>Indicador</t>
  </si>
  <si>
    <t>No de Riesgo</t>
  </si>
  <si>
    <t>Internos</t>
  </si>
  <si>
    <t>Externos</t>
  </si>
  <si>
    <t>¿Existe un responsable asignado a la ejecución del control ?</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</si>
  <si>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</si>
  <si>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</si>
  <si>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</si>
  <si>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</si>
  <si>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</si>
  <si>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N.A.</t>
  </si>
  <si>
    <t>Procesos</t>
  </si>
  <si>
    <t>Debilidad en los controles e instrumentos de reporte de avance y de seguimiento de los planes de acción institucionales.</t>
  </si>
  <si>
    <t>Manipulación de información de reportes de seguimiento de avances de planes de acción institucional para beneficio individual.</t>
  </si>
  <si>
    <t>*Reducción de los impactos de la gestión de la entidad. 
*Decisiones tomadas con base en información imprecisa. 
*Pérdida de credibilidad por parte de los ciudadanos.</t>
  </si>
  <si>
    <t xml:space="preserve">Corrupción </t>
  </si>
  <si>
    <t xml:space="preserve">Preventivo </t>
  </si>
  <si>
    <t>Directamente</t>
  </si>
  <si>
    <t>Asignado</t>
  </si>
  <si>
    <t>Adecuado</t>
  </si>
  <si>
    <t>Oportuna</t>
  </si>
  <si>
    <t>Prevenir</t>
  </si>
  <si>
    <t>Confiable</t>
  </si>
  <si>
    <t>Se investigan y resuelven oportunamente</t>
  </si>
  <si>
    <t>Completa</t>
  </si>
  <si>
    <t>Reducir</t>
  </si>
  <si>
    <t>Socializar ante el Comité Institucional de Gestión y Desempeño el procedimiento de Formulación y Seguimiento del Plan Estratégico y el Plan de Acción Anual.</t>
  </si>
  <si>
    <t>Acta del Comité Institucional de Gestión y Desempeño.</t>
  </si>
  <si>
    <t>Jefe Oficina Asesora de Planeación.</t>
  </si>
  <si>
    <t>30 de junio de 2020</t>
  </si>
  <si>
    <t>Socialización efectuada.</t>
  </si>
  <si>
    <t>PROCESO</t>
  </si>
  <si>
    <t>Políticos</t>
  </si>
  <si>
    <t>Intención de un tercero de utilizar el prestigio  de la Corporación, a través de la Oficina Asesora de Comunicaciones, para favorecer sus intereses personales.</t>
  </si>
  <si>
    <t>Manejo inadecuado de divulgación de la información, a través de la Corporación, para favorecer a un tercero.</t>
  </si>
  <si>
    <t>Afectación de la imagen  y credibilidad ante la ciudadanía de la labor institucional.
Acciones disciplinarias.</t>
  </si>
  <si>
    <t>Detectar</t>
  </si>
  <si>
    <t>Actualizar la normatividad de la Corporación relacionada con los protocolos para la publicación de contenidos oficiales en pagina web e intranet.</t>
  </si>
  <si>
    <t xml:space="preserve">Documento del sistema de gestión formalizado. </t>
  </si>
  <si>
    <t>Comité institucional de gestión y desempeño , con el apoyo del Equipo técnico de información y  comunicación pública… Resolución 388 de 2019.</t>
  </si>
  <si>
    <t>31-Diciembre 2020</t>
  </si>
  <si>
    <t>Documento oficializado</t>
  </si>
  <si>
    <t>Personal</t>
  </si>
  <si>
    <t>No verificar el registro biométrico de votación para elaborar la certificación.</t>
  </si>
  <si>
    <t>Expedir certificación de votaciones, que no correspondan a las reales, con el fin de favorecer un interés propio o de un tercero,  en eventos no subsanables.</t>
  </si>
  <si>
    <t>Indagación y/o investigación administrativa, fiscal, disciplinaria o penal</t>
  </si>
  <si>
    <t>No disminuye</t>
  </si>
  <si>
    <t>Evitar</t>
  </si>
  <si>
    <t>Registro de votación expedido por sistemas de cada una de las sesiones o el llamado a lista firmado por el secretario o subsecretario.</t>
  </si>
  <si>
    <t>Secretario General
Subsecretarios de Comisiones permanentes</t>
  </si>
  <si>
    <t>Sesiones ordinarias (Febrero, Mayo, Agosto y Noviembre) y en sesiones extraordinarias</t>
  </si>
  <si>
    <t>Número de registros de votación  expedidos/Número de votaciones realizadas</t>
  </si>
  <si>
    <t>Omisión en el registro de la votación que se lleve a cabo.</t>
  </si>
  <si>
    <t>No permitir que se cumpla con los términos de radicación.</t>
  </si>
  <si>
    <t>Intereses particulares para favorecimiento de terceros</t>
  </si>
  <si>
    <t>Omisión de requisitos de ley en los actos administrativos de convocatoria de elección de servidores públicos distritales para favorecimiento de terceros</t>
  </si>
  <si>
    <t>Indagación y/o investigación administrativa, disciplinaria, fiscal o penal.</t>
  </si>
  <si>
    <t>La Mesa Directiva  solicita el  acompañamiento especial del Ministerio Publico Nacional o Distrital.</t>
  </si>
  <si>
    <t>Indirectamente</t>
  </si>
  <si>
    <t>Aplicación de la normatividad vigente aplicable para el caso de elección de servidores públicos.</t>
  </si>
  <si>
    <t>Carpeta supervisión del contrato de prestación del servicio de elección de servidores públicos.</t>
  </si>
  <si>
    <t>Mesa Directiva</t>
  </si>
  <si>
    <t xml:space="preserve">Primer periodo de sesiones ordinarias correspondientes al inicio del periodo constitucional para Personero y Contralor.
Sesiones ordinarias del mes de Febrero de cada vigencia para Secretario General y Subsecretarios de Comisiones </t>
  </si>
  <si>
    <t>Numero de procesos de elección ejecutados conforme a la ley.</t>
  </si>
  <si>
    <t xml:space="preserve">Debilidades en los canales de atención al ciudadano.
</t>
  </si>
  <si>
    <t>Posibilidad de no dar  trato igualitario dentro del proceso de atención al ciudadano con el fin de favorecer a un tercero. (TRANSPARENCIA ACTIVA)</t>
  </si>
  <si>
    <t>Detectivo</t>
  </si>
  <si>
    <t>Inoportuna</t>
  </si>
  <si>
    <t>No es un control</t>
  </si>
  <si>
    <t>No confiable</t>
  </si>
  <si>
    <t>No se investigan y resuelven oportunamente</t>
  </si>
  <si>
    <t>Incompleta</t>
  </si>
  <si>
    <t>Digiturno implementado.</t>
  </si>
  <si>
    <t xml:space="preserve">Dirección Adminsitrativa
Dirección Tecnica Jurídica - Atención al Ciudadano </t>
  </si>
  <si>
    <t>31 diciembre 2020</t>
  </si>
  <si>
    <t>1 digiturno implementado</t>
  </si>
  <si>
    <t xml:space="preserve">Intereses y presiones de actores internos o  externos para favorecer a un particular. </t>
  </si>
  <si>
    <t xml:space="preserve">Sanciones Disciplinarias.
Sanciones Fiscales.
Sanciones Penales.
Afectación en la calidad en la prestación del servicio
</t>
  </si>
  <si>
    <t xml:space="preserve">El responsable de proyectar el acto administrativo verifica el cumplimiento de los requisitos establecidos en el procedimiento y en la norma, el documento proyectado es revisado por el asesor y entregado a la Dirección admnistrativa para la revisión, aprobación y certificación  del cumplimiento en los casos en que se requiere. 
En caso de que se encuentre una desviación el punto de control en el que se detecto lo devuelve a donde se origino el documento para su revisión y ajuste. </t>
  </si>
  <si>
    <t xml:space="preserve">Utilizar los formatos estabecidos en el proceso para la totalidad de los actos administrativos que se proyecten. </t>
  </si>
  <si>
    <t>Formatos adoptados en el SIG.</t>
  </si>
  <si>
    <t>Director Administrativo - equipo de talento humano- actos administrativos.</t>
  </si>
  <si>
    <t>31 de Diciembre de 2020.</t>
  </si>
  <si>
    <t>100% de los actos administrativos proyectados con soportes de utilización de formatos del proceso</t>
  </si>
  <si>
    <t>Presión de terceros para incidir en las decisiones de la Dirección Jurídica.</t>
  </si>
  <si>
    <t>Avalar la expedición de actos administrativos y emitir conceptos por fuera del marco legal con el fin de favorecer el interes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</si>
  <si>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</si>
  <si>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profesional asignado al tema revisa el acto administrativo o proyecta el concepto solicitado y lo entrega al Director Jurídico, quien revisa y aprueba. En caso de encontrar alguna inconsistencia el Director Jurídico ordena efectuar el correspondiente ajuste.</t>
  </si>
  <si>
    <t>Actualizar el procedimiento Asesoría Jurídica Interna.</t>
  </si>
  <si>
    <t>Documento aprobado en el SIG.</t>
  </si>
  <si>
    <t>Director Técnico Jurídico</t>
  </si>
  <si>
    <t>Diciembre 2020</t>
  </si>
  <si>
    <t>1 documento aprobado</t>
  </si>
  <si>
    <t>Las personas a las que se les asignan los recuros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</si>
  <si>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</si>
  <si>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Perdida de imagen institucional 
</t>
  </si>
  <si>
    <t xml:space="preserve">La mesa directiva asigna mediante resolución, a los directivos y a las dependencias a su cargo  los vehiculos para cubrir las necesidades propias del cargo y de dicha dependecia, con el fin de formalizar las condiciones de la prestación del servicio. Esta resolución se expide cada vez que hay cambio de directivo. 
</t>
  </si>
  <si>
    <t xml:space="preserve">Comunicar y socializar a las partes interesadas el reglamento para la administraciòn, uso y manejo del parque autormotor propio al servicio del Concejo de Bogota. </t>
  </si>
  <si>
    <t xml:space="preserve">Memorandos y actas de reunión de socialización del Reglamento para la administraciòn, uso y manejo del parque autormotor propio al servicio del Concejo de Bogota adoptado. </t>
  </si>
  <si>
    <t xml:space="preserve">Dirección administrativa </t>
  </si>
  <si>
    <t>30 de Diciembre de 2020</t>
  </si>
  <si>
    <t xml:space="preserve">Numero de comunicaciones de socialización del Reglamento entregadas.
Numero de socializaciónes realizadas. </t>
  </si>
  <si>
    <t>Debilidad en los lineamientos, directirices o controles en la utilización de los recursos.</t>
  </si>
  <si>
    <t>Los vehiculos de apoyo misional son administrados por la dirección administrativa, su programación depende de las necesidades del servicio y se programa de acuerdo a los requerimientos recibidos con justificación del solicitante, autorizaciòn dela direcciòn administrativa y reporte del servicip prestado por parte del conductor: No se deja evidencia documental de la programación y del uso, se realiza de manera verbal.  En caso de detectar un uso  diferente del vehiculo se hace el llamado de atenciòn verbal.</t>
  </si>
  <si>
    <t>No existe</t>
  </si>
  <si>
    <t xml:space="preserve">Posibilidad de dar uso indebido a los recursos e insumos de  servicios generales, mantenimiento,   en benificio de terceros o particulares. </t>
  </si>
  <si>
    <t>Las solicitudes para retirar los elementos de la Corporación son revisadas por la Dirección Administrativa cada vez que se solicita el retiro del bien,  con el fin de verificar cual va a ser el uso y el destino del mismo. Posteriomente expide un correo u oficio de autorización que debe ser presentado a la empresa de vigilancia para retirar el bien de las instalaciones de la Corporación. La novedad del retiro del bien es registrada en la minuta de la vigilancia  En caso de que se intente retirar un bien sin la autorización correspondiente la empresa de vigilancia informa al apoyo a la supervisión del contrato y no permite el retiro del bien.</t>
  </si>
  <si>
    <t>Elaborar un protocolo para el traslado de bienes a cargo de la Corporación y/o de bienes propios de los Concejales.</t>
  </si>
  <si>
    <t>Protocolo adoptado en el SIG.</t>
  </si>
  <si>
    <t>1 protocolo adoptado</t>
  </si>
  <si>
    <t>Tecnología</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</si>
  <si>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</si>
  <si>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</si>
  <si>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</si>
  <si>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Elaboración de copias de respaldo de la información por parte del profesional asignado del proceso de Sistemas y Seguridad de la Información, en los tiempos establecidos en el procedimiento. En caso de que no se realice la copia de forma automática se efectuará de forma manual.</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</si>
  <si>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</si>
  <si>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</si>
  <si>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</si>
  <si>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Número de actividades de sensibilización o divulgación realizadas</t>
  </si>
  <si>
    <t>Falta de definición e implementación de controles para el acceso a la información.</t>
  </si>
  <si>
    <t>Cada servidor público del Concejo de Bogotá da cumplimiento del Manual de Políticas de seguridad de la información de forma permanente. En caso de no dar cumplimiento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</si>
  <si>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</si>
  <si>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</si>
  <si>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</si>
  <si>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del sistema garantiza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</si>
  <si>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</si>
  <si>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</si>
  <si>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</si>
  <si>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Tecnológicos</t>
  </si>
  <si>
    <t>Vulnerabilidades de las plataformas de los sistemas informáticos</t>
  </si>
  <si>
    <t xml:space="preserve">Inadecuado control en el  préstamo de los  documentos del Archivo </t>
  </si>
  <si>
    <t>Mutilación,  hurto, robo o pérdida de folios o de expedientes con el fin de favorecer intereses personales.</t>
  </si>
  <si>
    <t>Demandas 
Procesos disciplinarios (dependiendo del tipo de documento)</t>
  </si>
  <si>
    <t>El auxiliar administrativo facilita la información que se requiere para consulta. Para esto diligencia el formato de solicitud de consulta y/o préstamo de documentos cada vez que se presente una solicitud.</t>
  </si>
  <si>
    <t>Socializar el procedimiento y el formato de consulta y prestamo de archivos a todas las dependencias de la Corporación.</t>
  </si>
  <si>
    <t>Listados de asistencia / Documento con la presentación</t>
  </si>
  <si>
    <t>Hernán Rodríguez</t>
  </si>
  <si>
    <t>Diciembre de 2020</t>
  </si>
  <si>
    <t>Socializaciones realizadas</t>
  </si>
  <si>
    <t>Falta de espacios que aseguren el archivo y custodia de las unidades documentales cuando se encuentran en trámite (archivos de gestión)</t>
  </si>
  <si>
    <t>Ausencia de un inventario documental</t>
  </si>
  <si>
    <t>Incumplimiento a los procedimientos y lineamientos  establecidos en la Corporación</t>
  </si>
  <si>
    <t>Concentrar las labores de supervisiòn en poco personal.</t>
  </si>
  <si>
    <t>Inobservancia de las obligaciones del Supervisor,  que genere el incumplimiento Contractual, en beneficio propio o de un tercero.</t>
  </si>
  <si>
    <t>Incumplimiento del objeto contractual por parte del contratista.</t>
  </si>
  <si>
    <t>3.1. 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correo electronico se adjunta el link del Manual de Contrataciòn y la Guia de Supervisor de Contrato.</t>
  </si>
  <si>
    <t xml:space="preserve">Realizar reuniones cuatrimestrales con los Supervisores de Contrato y los Apoyos a la Supervisión, para evidenciar las observaciones en el ejercicio de la supervisión y formular las acciones que correspondan. </t>
  </si>
  <si>
    <t xml:space="preserve">Acta de Reunión </t>
  </si>
  <si>
    <t>Director Financiero y Fondo Cuenta del Concejo</t>
  </si>
  <si>
    <t>No. Reuniones Realizadas /  Nro. Reuniones programadas en la vigencia</t>
  </si>
  <si>
    <t>Dificultad en la Coordinación entre las dos entidades</t>
  </si>
  <si>
    <t>Servicios prestados no son acordes a la necesidades que se pretendian satisfacer.</t>
  </si>
  <si>
    <t>3.2. Recibida la cuenta de cobro por parte de los contratistas, los apoyos a la supervisiòn de los contratos proceden a verificar la documentaciòn y soportes aportados (Ej: Pago seguridad social, Informe de Supervisiòn Periodica, Facturas si aplica, Informe de Ejecuciòn Mensual, entre otros), siendo correcto se procede a dar visto bueno en la Ficha de Ejecuciòn Financiera y se procede a elaborar oficio remisiorio a la SDH. En caso de evidenciar observaciones se devuelve al supervisor para los correspondientes ajustes.</t>
  </si>
  <si>
    <t xml:space="preserve">Capacitar a los  Supervisores de Contrato y Apoyos a la Supervisión con el proposito de orientar en la correcta presentación de la documentación y los aplicativos correspondientes. </t>
  </si>
  <si>
    <t>Registro de Asistencia</t>
  </si>
  <si>
    <t xml:space="preserve">Anual </t>
  </si>
  <si>
    <t>No. Capacitaciones Realizadas (01)</t>
  </si>
  <si>
    <t>Tecnologia</t>
  </si>
  <si>
    <t>No se cuenta con usuarios, ni capacitaciòn suficiente en SECOP II</t>
  </si>
  <si>
    <t>Demora en los pagos a los contratistas.</t>
  </si>
  <si>
    <t>3.3. Recibido el Informe final de la ejecuciòn del contrato por parte del Supervisor, los apoyos a la supervisiòn de los contratos proceden a verificar la documentaciòn y soportes aportados (Ej: Pago seguridad social, Informe de Supervisiòn Periodica, Facturas si aplica, Informe de Ejecuciòn Mensual y Final, entre otros), siendo correcto se procede a elaborar oficio remisiorio a la SDH. En caso de evidenciar observaciones se devuelve al supervisor para los correspondientes ajustes.</t>
  </si>
  <si>
    <t xml:space="preserve">Socializar a los supervisores ya apoyos a la supervisión los instructivos y formatos   del procedimiento de fondo cuenta. </t>
  </si>
  <si>
    <t>Instructivo GN-IN-03 actualizado</t>
  </si>
  <si>
    <t>31/12/2020</t>
  </si>
  <si>
    <t xml:space="preserve">Nro. De actividades de socialización realizadas. </t>
  </si>
  <si>
    <t>Generar detrimento patrimonial por el pago sin la verificaciòn de la prestaciòn de servicio o la entrega de bienes contratados.</t>
  </si>
  <si>
    <t>Legales y reglamentarios</t>
  </si>
  <si>
    <t xml:space="preserve">No declararse impedido con la debida oportunidad </t>
  </si>
  <si>
    <t>Conflicto de intereses</t>
  </si>
  <si>
    <t>Ocultamiento de situaciones que ameriten el inicio de procesos disciplinarios, fiscales, penales, entre otros.</t>
  </si>
  <si>
    <t>Oficio o Memorando remisorio</t>
  </si>
  <si>
    <t>Lider del Proceso</t>
  </si>
  <si>
    <t>Inmediato</t>
  </si>
  <si>
    <t>ATENCIÒN AL CIUDADANO</t>
  </si>
  <si>
    <t>TALENTO HUMANO</t>
  </si>
  <si>
    <t>GESTIÒN JURÌDICA</t>
  </si>
  <si>
    <t>SISTEMAS Y SEGURIDAD DE LA INFORMACIÒN</t>
  </si>
  <si>
    <t xml:space="preserve">En cada vigencia el (los) servidor (es) públicos de la Oficina de Control Interno que actúe (n) como auditor (es), independientemente de su tipo de vinculación, deberá suscribir acuerdo de confidencialidad,  no divulgación de información e integridad, previo al inicio de la ejecución de cada  Auditoría, así mismo los auditores externos a la Oficina deberán suscribirlo para cada ejercicio de auditoría en el que participen. Formato (EVI-FO-001). Politica de operacion 4.6. </t>
  </si>
  <si>
    <t>Posibilidad de favorecer a personas que no cumplan los requisitos en los planes de  bienestar o capacitación con el fin de beneficiar a particulares.</t>
  </si>
  <si>
    <t>*Acciones disciplinarias y fiscales</t>
  </si>
  <si>
    <t>Los funcionarios del componente de bienestar y capacitación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</si>
  <si>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</si>
  <si>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Documentos actualizados en el SIG.</t>
  </si>
  <si>
    <t>Director Administrativo.</t>
  </si>
  <si>
    <t>31-Diciembre de 2020</t>
  </si>
  <si>
    <t xml:space="preserve">
3 documentos  actualizados en el SIG. </t>
  </si>
  <si>
    <t>Posible omisiòn del anàlisis de la documentaciòn presentada por el candidato que se va a vincular  (nombramiento de funcionarios, encargos, reconocimiento de primas tecnicas, sin el lleno de los requisitos legales o reglamentarios para beneficio propio o  favorecer a un tercero).</t>
  </si>
  <si>
    <t>DIRECCIONAMIENTO ESTRATÉGICO</t>
  </si>
  <si>
    <t>ELECCIÓN DE SERVIDORES PÚBLICOS</t>
  </si>
  <si>
    <t xml:space="preserve">MAPA DE RIESGOS DE CORRUPCIÓN </t>
  </si>
  <si>
    <t>COMUNICACIONES E INFORMACIÓN</t>
  </si>
  <si>
    <t>GESTIÓN NORMATIVA</t>
  </si>
  <si>
    <t>CONTROL POLÍTICO</t>
  </si>
  <si>
    <t>GESTIÒN DE RECURSOS FÍSICOS</t>
  </si>
  <si>
    <t>GESTIÓN DOCUMENTAL</t>
  </si>
  <si>
    <t>GESTIÓN FINANCIERA</t>
  </si>
  <si>
    <t xml:space="preserve">Cuatrimestral </t>
  </si>
  <si>
    <t>EVALUACIÓN INDEPENDIENTE</t>
  </si>
  <si>
    <t>¿El responsable tiene la autoridad y adecuada segregación de funciones en la ejecución del control?</t>
  </si>
  <si>
    <t xml:space="preserve">Cada líder de proceso establece sus actividades a incluir en los planes de acción institucionales y estos son remitidos a la Oficina Asesora de Planeación para su revisión y aval. Cada líder de proceso reporta trimestralmente los informes de avance de los planes de acción institucional.  La OAP revisa la coherencia del reporte y en caso de encontrar inconsistencias solicita los ajustes a las áreas responsables, luego de lo cual consolida el informe de avances del plan de acción y lo presenta al equipo directivo y al Comité Institucional de Gestión y Desempeño, destacando las desviaciones frente a lo programado para que los responsables tomen las medidas de ajuste. El informe de avances del plan de acción se publica en la red interna, la intranet y la pagina web.  </t>
  </si>
  <si>
    <t xml:space="preserve">El Jefe de la Oficina de Comunicaciones con su equipo revisa los contenidos a publicar en los diferentes medios  de la Corporación, en caso de encontrar inconsistencia con la norma se solicita concepto a la Oficina Jurídica. </t>
  </si>
  <si>
    <t xml:space="preserve">El profesional asignado por parte del secretario general o el subsecretario,  elabora el registro de votación una vez culminada la sesión . Al día siguiente,  el secretario y subsecretarios revisan y verifican la información para expedir la certificación y en el caso de encontrar inconsistencias realiza los ajustes respectivos y se expide la certificación. 
</t>
  </si>
  <si>
    <t>Verificar la votación con el registro suministrado por sistemas y en caso de fallas del sistema, se realizará llamados de conformidad con el reglamento interno vigente</t>
  </si>
  <si>
    <t>NO verificar la grabación de las sesiones  (audio -video)</t>
  </si>
  <si>
    <t xml:space="preserve">El profesional asignado por parte del secretario general o el subsecretario,  elabora el registro de votación una vez culminada la sesión al día siguiente,  el secretario y subsecretarios revisan y verifican la información para expedir la certificación y en el caso de encontrar inconsistencias realiza los ajustes respectivos y se expide la certificación. 
</t>
  </si>
  <si>
    <t>*Sanciones disciplinarias'
Perdida de credibilidad con la ciudadanía</t>
  </si>
  <si>
    <t xml:space="preserve">La auxiliar de atención al ciudadano registra en el formato AC PR001F05 las personas que requieren atención en orden de llegada, se brinda la atención y orientación inicial  y de allí se traslada al funcionario del área para que ingresen la SDQS verbal o escrita. </t>
  </si>
  <si>
    <t>Implementar el digitaron en la Corporación para garantizar el trato igualitario a las personas que solicitan la atención garantizando los criterios de atención diferencial. (una vez sea contratado or la Secretaría Distrital de Hacienda).</t>
  </si>
  <si>
    <t>Acuerdo de confidencialidad suscrito por auditoría programada</t>
  </si>
  <si>
    <t>Verificar la suscripción del acuerdo de confidencialidad, por parte del auditor interno al inicio de la auditoría interna.</t>
  </si>
  <si>
    <t>Versión 01 - Enero 30 de 2020</t>
  </si>
  <si>
    <t>Consolidado por la Oficina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</si>
</sst>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1"/>
      <color theme="1"/>
      <name val="Calibri"/>
      <family val="2"/>
      <scheme val="minor"/>
    </font>
    <font>
      <sz val="11"/>
      <color theme="1"/>
      <name val="Arial"/>
      <family val="2"/>
    </font>
    <font>
      <b/>
      <sz val="11"/>
      <color theme="1"/>
      <name val="Arial"/>
      <family val="2"/>
    </font>
    <font>
      <sz val="9"/>
      <color theme="1"/>
      <name val="Arial"/>
      <family val="2"/>
    </font>
    <font>
      <sz val="9"/>
      <name val="Arial"/>
      <family val="2"/>
    </font>
    <font>
      <b/>
      <sz val="9"/>
      <color indexed="81"/>
      <name val="Tahoma"/>
      <family val="2"/>
    </font>
    <font>
      <sz val="9"/>
      <color indexed="81"/>
      <name val="Tahoma"/>
      <family val="2"/>
    </font>
    <font>
      <sz val="11"/>
      <color theme="1"/>
      <name val="Calibri"/>
      <family val="2"/>
      <scheme val="minor"/>
    </font>
    <font>
      <sz val="11"/>
      <name val="Arial"/>
      <family val="2"/>
    </font>
    <font>
      <sz val="9"/>
      <name val="Arial Narrow"/>
      <family val="2"/>
    </font>
    <font>
      <sz val="28"/>
      <color theme="1"/>
      <name val="Calibri"/>
      <family val="2"/>
      <scheme val="minor"/>
    </font>
    <font>
      <sz val="11"/>
      <color theme="1"/>
      <name val="Arial Narrow"/>
      <family val="2"/>
    </font>
    <font>
      <sz val="11"/>
      <name val="Arial Narrow"/>
      <family val="2"/>
    </font>
    <font>
      <b/>
      <sz val="11"/>
      <color theme="1"/>
      <name val="Arial Narrow"/>
      <family val="2"/>
    </font>
    <font>
      <sz val="11"/>
      <color indexed="8"/>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43" fontId="7" fillId="0" borderId="0" applyFont="0" applyFill="0" applyBorder="0" applyAlignment="0" applyProtection="0"/>
    <xf numFmtId="0" fontId="14" fillId="0" borderId="0"/>
  </cellStyleXfs>
  <cellXfs count="141">
    <xf numFmtId="0" fontId="0" fillId="0" borderId="0" xfId="0"/>
    <xf numFmtId="0" fontId="1" fillId="0" borderId="0" xfId="0" applyFont="1" applyAlignment="1">
      <alignment vertical="center"/>
    </xf>
    <xf numFmtId="0" fontId="2" fillId="0" borderId="0" xfId="0" applyFont="1" applyFill="1" applyAlignment="1">
      <alignment vertical="center" wrapText="1"/>
    </xf>
    <xf numFmtId="0" fontId="1" fillId="0" borderId="4" xfId="0" applyFont="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vertical="center"/>
    </xf>
    <xf numFmtId="0" fontId="2" fillId="6" borderId="4" xfId="0" applyFont="1" applyFill="1" applyBorder="1" applyAlignment="1">
      <alignment vertical="center"/>
    </xf>
    <xf numFmtId="0" fontId="2" fillId="0" borderId="4" xfId="0" applyFont="1" applyFill="1" applyBorder="1" applyAlignment="1" applyProtection="1">
      <alignment vertical="center"/>
    </xf>
    <xf numFmtId="0" fontId="1" fillId="10" borderId="4" xfId="0" applyFont="1" applyFill="1" applyBorder="1" applyAlignment="1">
      <alignment vertical="center" wrapText="1"/>
    </xf>
    <xf numFmtId="0" fontId="1" fillId="0" borderId="4" xfId="0" applyFont="1" applyFill="1" applyBorder="1" applyAlignment="1" applyProtection="1">
      <alignment vertical="center"/>
    </xf>
    <xf numFmtId="0" fontId="1" fillId="0" borderId="4" xfId="0" applyFont="1" applyFill="1" applyBorder="1" applyAlignment="1" applyProtection="1">
      <alignment horizontal="center" vertical="center"/>
    </xf>
    <xf numFmtId="0" fontId="2" fillId="0" borderId="0" xfId="0" applyFont="1" applyAlignment="1">
      <alignment vertical="center"/>
    </xf>
    <xf numFmtId="0" fontId="8" fillId="10" borderId="4" xfId="0" applyFont="1" applyFill="1" applyBorder="1" applyAlignment="1">
      <alignment vertical="center" wrapText="1"/>
    </xf>
    <xf numFmtId="0" fontId="9" fillId="0" borderId="4" xfId="0" applyFont="1" applyBorder="1" applyAlignment="1" applyProtection="1">
      <alignment horizontal="justify" vertical="center" wrapText="1"/>
      <protection locked="0"/>
    </xf>
    <xf numFmtId="0" fontId="8" fillId="0" borderId="4" xfId="0" applyFont="1" applyBorder="1" applyAlignment="1" applyProtection="1">
      <alignment horizontal="justify" vertical="center"/>
      <protection locked="0"/>
    </xf>
    <xf numFmtId="0" fontId="8" fillId="0" borderId="4" xfId="0" applyFont="1" applyBorder="1" applyAlignment="1" applyProtection="1">
      <alignment horizontal="justify" vertical="center" wrapText="1"/>
      <protection locked="0"/>
    </xf>
    <xf numFmtId="0" fontId="1" fillId="0" borderId="4" xfId="0" applyFont="1" applyFill="1" applyBorder="1" applyAlignment="1">
      <alignment horizontal="justify" vertical="center" wrapText="1"/>
    </xf>
    <xf numFmtId="2" fontId="1" fillId="0" borderId="4" xfId="0" applyNumberFormat="1" applyFont="1" applyFill="1" applyBorder="1" applyAlignment="1">
      <alignment horizontal="justify" vertical="center" wrapText="1"/>
    </xf>
    <xf numFmtId="0" fontId="1" fillId="0" borderId="3" xfId="0" applyFont="1" applyBorder="1" applyAlignment="1">
      <alignment vertical="center"/>
    </xf>
    <xf numFmtId="0" fontId="1" fillId="0" borderId="0" xfId="0" applyFont="1" applyFill="1" applyAlignment="1">
      <alignment vertical="center"/>
    </xf>
    <xf numFmtId="0" fontId="2" fillId="8"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1" fillId="0" borderId="4" xfId="0" applyFont="1" applyFill="1" applyBorder="1" applyAlignment="1">
      <alignment horizontal="center" vertical="center"/>
    </xf>
    <xf numFmtId="0" fontId="8" fillId="10" borderId="4" xfId="0" applyFont="1" applyFill="1" applyBorder="1" applyAlignment="1">
      <alignment horizontal="center" vertical="center" wrapText="1"/>
    </xf>
    <xf numFmtId="0" fontId="1" fillId="10" borderId="4"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0" borderId="4" xfId="0" applyFont="1" applyFill="1" applyBorder="1" applyAlignment="1" applyProtection="1">
      <alignment horizontal="center" vertical="center"/>
    </xf>
    <xf numFmtId="0" fontId="1" fillId="0" borderId="4" xfId="0" applyFont="1" applyBorder="1" applyAlignment="1">
      <alignment horizontal="center" vertical="center" wrapText="1"/>
    </xf>
    <xf numFmtId="0" fontId="1" fillId="10" borderId="4" xfId="0" applyFont="1" applyFill="1" applyBorder="1" applyAlignment="1">
      <alignment horizontal="center" vertical="center" wrapText="1"/>
    </xf>
    <xf numFmtId="0" fontId="8" fillId="10" borderId="4"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xf>
    <xf numFmtId="0" fontId="2" fillId="0"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pplyProtection="1">
      <alignment horizontal="justify" vertical="center" wrapText="1" shrinkToFit="1"/>
      <protection locked="0"/>
    </xf>
    <xf numFmtId="0" fontId="11" fillId="0" borderId="4" xfId="0" applyFont="1" applyBorder="1" applyAlignment="1">
      <alignment horizontal="center" vertical="center"/>
    </xf>
    <xf numFmtId="0" fontId="8" fillId="0" borderId="4" xfId="0" quotePrefix="1" applyFont="1" applyBorder="1" applyAlignment="1" applyProtection="1">
      <alignment horizontal="justify" vertical="center" wrapText="1"/>
      <protection locked="0"/>
    </xf>
    <xf numFmtId="0" fontId="8" fillId="0" borderId="4" xfId="0" quotePrefix="1" applyFont="1" applyBorder="1" applyAlignment="1" applyProtection="1">
      <alignment horizontal="justify" vertical="center" wrapText="1" shrinkToFit="1"/>
      <protection locked="0"/>
    </xf>
    <xf numFmtId="0" fontId="8" fillId="0" borderId="4" xfId="0" quotePrefix="1" applyFont="1" applyFill="1" applyBorder="1" applyAlignment="1" applyProtection="1">
      <alignment horizontal="justify" vertical="center" wrapText="1" shrinkToFit="1"/>
      <protection locked="0"/>
    </xf>
    <xf numFmtId="0" fontId="8" fillId="0" borderId="4" xfId="0" applyFont="1" applyFill="1" applyBorder="1" applyAlignment="1" applyProtection="1">
      <alignment horizontal="justify" vertical="center"/>
      <protection locked="0"/>
    </xf>
    <xf numFmtId="0" fontId="11" fillId="0" borderId="4" xfId="0" applyFont="1" applyBorder="1" applyAlignment="1">
      <alignment horizontal="center" vertical="center" wrapText="1"/>
    </xf>
    <xf numFmtId="0" fontId="12" fillId="10" borderId="4" xfId="0" applyFont="1" applyFill="1" applyBorder="1" applyAlignment="1" applyProtection="1">
      <alignment horizontal="justify" vertical="center"/>
      <protection locked="0"/>
    </xf>
    <xf numFmtId="0" fontId="12" fillId="0" borderId="4" xfId="0" applyFont="1" applyBorder="1" applyAlignment="1" applyProtection="1">
      <alignment horizontal="justify" vertical="center"/>
      <protection locked="0"/>
    </xf>
    <xf numFmtId="0" fontId="12" fillId="0" borderId="4" xfId="0" applyFont="1" applyBorder="1" applyAlignment="1" applyProtection="1">
      <alignment horizontal="justify" vertical="center" wrapText="1"/>
      <protection locked="0"/>
    </xf>
    <xf numFmtId="0" fontId="11" fillId="0" borderId="4" xfId="0" applyFont="1" applyFill="1" applyBorder="1" applyAlignment="1">
      <alignment vertical="center" wrapText="1"/>
    </xf>
    <xf numFmtId="0" fontId="11" fillId="0" borderId="4" xfId="0" applyFont="1" applyFill="1" applyBorder="1" applyAlignment="1">
      <alignment vertical="center"/>
    </xf>
    <xf numFmtId="0" fontId="11" fillId="0" borderId="4" xfId="0" applyFont="1" applyBorder="1" applyAlignment="1">
      <alignment vertical="center"/>
    </xf>
    <xf numFmtId="0" fontId="13" fillId="6" borderId="4" xfId="0" applyFont="1" applyFill="1" applyBorder="1" applyAlignment="1">
      <alignment vertical="center"/>
    </xf>
    <xf numFmtId="0" fontId="13" fillId="0" borderId="4" xfId="0" applyFont="1" applyFill="1" applyBorder="1" applyAlignment="1" applyProtection="1">
      <alignment vertical="center"/>
    </xf>
    <xf numFmtId="0" fontId="8" fillId="0" borderId="4" xfId="0" quotePrefix="1" applyFont="1" applyFill="1" applyBorder="1" applyAlignment="1" applyProtection="1">
      <alignment horizontal="justify" vertical="center" wrapText="1"/>
      <protection locked="0"/>
    </xf>
    <xf numFmtId="0" fontId="8" fillId="0" borderId="4" xfId="0" quotePrefix="1" applyFont="1" applyFill="1" applyBorder="1" applyAlignment="1" applyProtection="1">
      <alignment horizontal="center" vertical="center" wrapText="1" shrinkToFit="1"/>
      <protection locked="0"/>
    </xf>
    <xf numFmtId="0" fontId="4" fillId="0" borderId="4" xfId="0" quotePrefix="1" applyFont="1" applyBorder="1" applyAlignment="1" applyProtection="1">
      <alignment horizontal="justify" vertical="center" wrapText="1"/>
      <protection locked="0"/>
    </xf>
    <xf numFmtId="0" fontId="4" fillId="0" borderId="4" xfId="0" applyFont="1" applyFill="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3" fillId="0" borderId="4" xfId="0" applyFont="1" applyBorder="1" applyAlignment="1">
      <alignment horizontal="justify" vertical="center" wrapText="1"/>
    </xf>
    <xf numFmtId="0" fontId="3" fillId="10" borderId="4" xfId="0" applyFont="1" applyFill="1" applyBorder="1" applyAlignment="1">
      <alignment horizontal="justify" vertical="center" wrapText="1"/>
    </xf>
    <xf numFmtId="0" fontId="4" fillId="0" borderId="4" xfId="0" applyFont="1" applyFill="1" applyBorder="1" applyAlignment="1" applyProtection="1">
      <alignment horizontal="justify" vertical="center" wrapText="1" shrinkToFit="1"/>
      <protection locked="0"/>
    </xf>
    <xf numFmtId="0" fontId="0" fillId="0" borderId="4" xfId="0" applyFont="1" applyBorder="1" applyAlignment="1">
      <alignment vertical="center"/>
    </xf>
    <xf numFmtId="0" fontId="11" fillId="10" borderId="4" xfId="0" applyFont="1" applyFill="1" applyBorder="1" applyAlignment="1">
      <alignment vertical="center" wrapText="1"/>
    </xf>
    <xf numFmtId="0" fontId="11" fillId="0" borderId="4" xfId="0" applyFont="1" applyFill="1" applyBorder="1" applyAlignment="1" applyProtection="1">
      <alignment vertical="center"/>
    </xf>
    <xf numFmtId="0" fontId="1" fillId="0" borderId="4" xfId="0" applyFont="1" applyBorder="1" applyAlignment="1">
      <alignment horizontal="left" vertical="center" wrapText="1"/>
    </xf>
    <xf numFmtId="49" fontId="1" fillId="0" borderId="4" xfId="0" applyNumberFormat="1" applyFont="1" applyBorder="1" applyAlignment="1">
      <alignment horizontal="left" vertical="center" wrapText="1"/>
    </xf>
    <xf numFmtId="0" fontId="1" fillId="0" borderId="4" xfId="0"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1" fillId="0" borderId="4" xfId="0" applyFont="1" applyBorder="1" applyAlignment="1">
      <alignment horizontal="left" vertical="center" wrapText="1"/>
    </xf>
    <xf numFmtId="49" fontId="11" fillId="0" borderId="4" xfId="0" applyNumberFormat="1" applyFont="1" applyBorder="1" applyAlignment="1">
      <alignment horizontal="left" vertical="center" wrapText="1"/>
    </xf>
    <xf numFmtId="0" fontId="0" fillId="0" borderId="0" xfId="0" applyAlignment="1">
      <alignment wrapText="1"/>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11" fillId="0" borderId="4" xfId="0" applyFont="1" applyBorder="1" applyAlignment="1">
      <alignment horizontal="center" vertical="center"/>
    </xf>
    <xf numFmtId="0" fontId="1" fillId="10" borderId="4" xfId="0" applyFont="1" applyFill="1" applyBorder="1" applyAlignment="1">
      <alignment horizontal="center" vertical="center"/>
    </xf>
    <xf numFmtId="0" fontId="8" fillId="0" borderId="8" xfId="2" applyFont="1" applyBorder="1" applyAlignment="1" applyProtection="1">
      <alignment horizontal="left" vertical="center" wrapText="1"/>
      <protection hidden="1"/>
    </xf>
    <xf numFmtId="0" fontId="8" fillId="0" borderId="0" xfId="2" applyFont="1" applyAlignment="1" applyProtection="1">
      <alignment horizontal="left" vertical="center"/>
      <protection hidden="1"/>
    </xf>
    <xf numFmtId="2" fontId="1" fillId="0" borderId="5"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xf>
    <xf numFmtId="0" fontId="1" fillId="10" borderId="4"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6" borderId="4"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8" fillId="10" borderId="7"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quotePrefix="1" applyFont="1" applyBorder="1" applyAlignment="1" applyProtection="1">
      <alignment horizontal="justify" vertical="center" wrapText="1"/>
      <protection locked="0"/>
    </xf>
    <xf numFmtId="0" fontId="1" fillId="0" borderId="4" xfId="0" applyFont="1" applyBorder="1" applyAlignment="1">
      <alignment horizontal="center" vertical="center" wrapText="1"/>
    </xf>
    <xf numFmtId="0" fontId="1" fillId="0" borderId="5"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8" fillId="0" borderId="4" xfId="0" applyFont="1" applyBorder="1" applyAlignment="1" applyProtection="1">
      <alignment horizontal="center" vertical="center" wrapText="1" shrinkToFit="1"/>
      <protection locked="0"/>
    </xf>
    <xf numFmtId="0" fontId="8" fillId="0" borderId="4" xfId="0" quotePrefix="1" applyFont="1" applyBorder="1" applyAlignment="1" applyProtection="1">
      <alignment horizontal="center" vertical="center" wrapText="1" shrinkToFit="1"/>
      <protection locked="0"/>
    </xf>
    <xf numFmtId="0" fontId="8"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6" borderId="4"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0" borderId="4" xfId="0" applyFont="1" applyBorder="1" applyAlignment="1">
      <alignment horizontal="left" vertical="center" wrapText="1"/>
    </xf>
    <xf numFmtId="0" fontId="8" fillId="0" borderId="4" xfId="0" quotePrefix="1"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shrinkToFit="1"/>
      <protection locked="0"/>
    </xf>
    <xf numFmtId="0" fontId="1" fillId="0" borderId="4" xfId="0" applyFont="1" applyFill="1" applyBorder="1" applyAlignment="1">
      <alignment horizontal="center" vertical="center" wrapText="1"/>
    </xf>
    <xf numFmtId="0" fontId="1" fillId="10" borderId="4" xfId="0" applyFont="1" applyFill="1" applyBorder="1" applyAlignment="1">
      <alignment horizontal="center" vertical="center"/>
    </xf>
    <xf numFmtId="0" fontId="8" fillId="0" borderId="4" xfId="0" applyFont="1" applyBorder="1" applyAlignment="1">
      <alignment horizontal="left" vertical="center" wrapText="1"/>
    </xf>
    <xf numFmtId="0" fontId="1" fillId="0" borderId="4" xfId="0" quotePrefix="1" applyFont="1" applyBorder="1" applyAlignment="1">
      <alignment horizontal="left" vertical="center" wrapText="1"/>
    </xf>
    <xf numFmtId="0" fontId="8" fillId="0" borderId="4" xfId="0" quotePrefix="1" applyFont="1" applyFill="1" applyBorder="1" applyAlignment="1" applyProtection="1">
      <alignment horizontal="center" vertical="center" wrapText="1" shrinkToFit="1"/>
      <protection locked="0"/>
    </xf>
    <xf numFmtId="49" fontId="1" fillId="0" borderId="4" xfId="0" applyNumberFormat="1" applyFont="1" applyBorder="1" applyAlignment="1">
      <alignment horizontal="left" vertical="center" wrapText="1"/>
    </xf>
    <xf numFmtId="0" fontId="8" fillId="10" borderId="4" xfId="0" applyFont="1" applyFill="1" applyBorder="1" applyAlignment="1">
      <alignment horizontal="center" vertical="center" wrapText="1"/>
    </xf>
    <xf numFmtId="0" fontId="1" fillId="10" borderId="4" xfId="0" applyFont="1" applyFill="1" applyBorder="1" applyAlignment="1">
      <alignment horizontal="justify" vertical="center" wrapText="1"/>
    </xf>
    <xf numFmtId="0" fontId="1" fillId="0" borderId="4" xfId="0" applyFont="1" applyFill="1" applyBorder="1" applyAlignment="1" applyProtection="1">
      <alignment horizontal="center" vertical="center"/>
    </xf>
    <xf numFmtId="17" fontId="1" fillId="0" borderId="4" xfId="0" quotePrefix="1"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8" fillId="10" borderId="4" xfId="0" applyFont="1" applyFill="1" applyBorder="1" applyAlignment="1">
      <alignment horizontal="justify" vertical="center" wrapText="1"/>
    </xf>
    <xf numFmtId="0" fontId="3" fillId="0" borderId="4" xfId="0" applyFont="1" applyBorder="1" applyAlignment="1">
      <alignment horizontal="justify" vertical="center" wrapText="1"/>
    </xf>
    <xf numFmtId="0" fontId="10" fillId="0" borderId="0" xfId="0" applyFont="1" applyAlignment="1">
      <alignment horizontal="center"/>
    </xf>
    <xf numFmtId="0" fontId="1" fillId="0" borderId="4" xfId="0"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4" xfId="0" applyFont="1" applyBorder="1" applyAlignment="1">
      <alignment horizontal="left" vertical="center"/>
    </xf>
    <xf numFmtId="43" fontId="2" fillId="0" borderId="4" xfId="1" applyFont="1" applyFill="1" applyBorder="1" applyAlignment="1" applyProtection="1">
      <alignment horizontal="center" vertical="center"/>
    </xf>
    <xf numFmtId="1" fontId="1" fillId="0" borderId="4" xfId="0" applyNumberFormat="1" applyFont="1" applyBorder="1" applyAlignment="1">
      <alignment horizontal="center" vertical="center"/>
    </xf>
    <xf numFmtId="0" fontId="3" fillId="10" borderId="4" xfId="0" applyFont="1" applyFill="1" applyBorder="1" applyAlignment="1">
      <alignment horizontal="justify" vertical="center" wrapText="1"/>
    </xf>
    <xf numFmtId="0" fontId="11" fillId="0" borderId="4" xfId="0" applyFont="1" applyFill="1" applyBorder="1" applyAlignment="1">
      <alignment horizontal="center" vertical="center"/>
    </xf>
  </cellXfs>
  <cellStyles count="3">
    <cellStyle name="Millares" xfId="1" builtinId="3"/>
    <cellStyle name="Normal" xfId="0" builtinId="0"/>
    <cellStyle name="Normal_Libro1" xfId="2"/>
  </cellStyles>
  <dxfs count="145">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ci&#243;n%20de%20Riesgos/2020/1%20Mapa_Riesgos_%20Direccionamiento%20Estrat&#232;gic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JRODRIGUEZ\AppData\Local\Microsoft\Windows\INetCache\Content.Outlook\PCY2IAS8\formato%20GESTION%20DE%20RECURSOS%20FISICO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SistemasSI_201908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GD_0904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print\planeacion_sig\Administraci&#243;n%20de%20Riesgos\2019\14%20Matriz%20Riesgos%20Gesti&#243;n%20Financie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CABREJO\AppData\Local\Microsoft\Windows\INetCache\Content.Outlook\51S8K20B\GMC-FO-003_Mapa_Riesgos%20Evaluacion%20Independiente%2004%2012%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ABREJO\AppData\Local\Microsoft\Windows\INetCache\Content.Outlook\51S8K20B\formato%20%20comunicaciones%20riesgos%20corrupcion%20jul%2024%202019%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ci&#243;n%20de%20Riesgos/2020/4%20Mapa_Riesgos_Gesntion%20Normativa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istraci&#243;n%20de%20Riesgos/2020/5%20Mapa_Riesgos_Elecciones%20de%20Servidores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istraci&#243;n%20de%20Riesgos/2020/6%20Mapa_Riesgos_Control%20Politico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JRODRIGUEZ\Documents\Procesos\7-Atenci&#243;n%20al%20Ciudadano\riesgos%20c\Riesgo%20de%20corrupcion%20atencion%20al%20ciudad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CABREJO\AppData\Local\Microsoft\Windows\INetCache\Content.Outlook\51S8K20B\formato%20GESTION%20DE%20TALENTO%20HUM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formato%20GESTION%20DE%20TALENTO%20HUMAN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JRODRIGUEZ\AppData\Local\Microsoft\Windows\INetCache\Content.Outlook\PCY2IAS8\formato%20gesti&#243;n%20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R41"/>
  <sheetViews>
    <sheetView showGridLines="0" tabSelected="1" view="pageBreakPreview" zoomScale="60" zoomScaleNormal="70" workbookViewId="0">
      <pane ySplit="7" topLeftCell="A8" activePane="bottomLeft" state="frozen"/>
      <selection pane="bottomLeft" activeCell="L8" sqref="L8:L39"/>
    </sheetView>
  </sheetViews>
  <sheetFormatPr baseColWidth="10" defaultRowHeight="15" x14ac:dyDescent="0.25"/>
  <cols>
    <col min="1" max="1" width="21.140625" style="34" customWidth="1"/>
    <col min="3" max="3" width="16.28515625" customWidth="1"/>
    <col min="4" max="4" width="15.5703125" customWidth="1"/>
    <col min="5" max="5" width="15" customWidth="1"/>
    <col min="6" max="6" width="23" customWidth="1"/>
    <col min="7" max="7" width="24.28515625" customWidth="1"/>
    <col min="8" max="8" width="25.5703125" customWidth="1"/>
    <col min="9" max="9" width="23.140625" customWidth="1"/>
    <col min="11" max="11" width="19" customWidth="1"/>
    <col min="14" max="14" width="15.85546875" customWidth="1"/>
    <col min="15" max="15" width="35.140625" bestFit="1" customWidth="1"/>
    <col min="17" max="17" width="11.42578125" hidden="1" customWidth="1"/>
    <col min="18" max="33" width="0" hidden="1" customWidth="1"/>
    <col min="34" max="34" width="14.42578125" hidden="1" customWidth="1"/>
    <col min="38" max="38" width="16.7109375" customWidth="1"/>
    <col min="39" max="39" width="18.42578125" customWidth="1"/>
    <col min="40" max="40" width="27.140625" customWidth="1"/>
    <col min="41" max="41" width="16.140625" customWidth="1"/>
    <col min="42" max="42" width="17.85546875" customWidth="1"/>
    <col min="43" max="43" width="17.140625" style="70" customWidth="1"/>
    <col min="44" max="44" width="18.7109375" customWidth="1"/>
  </cols>
  <sheetData>
    <row r="3" spans="1:44" ht="36" x14ac:dyDescent="0.55000000000000004">
      <c r="A3" s="133" t="s">
        <v>221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row>
    <row r="4" spans="1:44" ht="21.75" customHeight="1" x14ac:dyDescent="0.25">
      <c r="A4" s="75" t="s">
        <v>242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row>
    <row r="5" spans="1:44" s="1" customFormat="1" ht="15" customHeight="1" x14ac:dyDescent="0.25">
      <c r="A5" s="33"/>
      <c r="B5" s="18"/>
      <c r="C5" s="110" t="s">
        <v>0</v>
      </c>
      <c r="D5" s="111"/>
      <c r="E5" s="111"/>
      <c r="F5" s="112" t="s">
        <v>1</v>
      </c>
      <c r="G5" s="112"/>
      <c r="H5" s="112"/>
      <c r="I5" s="112"/>
      <c r="J5" s="113"/>
      <c r="K5" s="114" t="s">
        <v>2</v>
      </c>
      <c r="L5" s="115"/>
      <c r="M5" s="115"/>
      <c r="N5" s="116"/>
      <c r="O5" s="106" t="s">
        <v>3</v>
      </c>
      <c r="P5" s="107"/>
      <c r="Q5" s="107"/>
      <c r="R5" s="107"/>
      <c r="S5" s="107"/>
      <c r="T5" s="107"/>
      <c r="U5" s="107"/>
      <c r="V5" s="107"/>
      <c r="W5" s="107"/>
      <c r="X5" s="107"/>
      <c r="Y5" s="107"/>
      <c r="Z5" s="107"/>
      <c r="AA5" s="107"/>
      <c r="AB5" s="107"/>
      <c r="AC5" s="107"/>
      <c r="AD5" s="107"/>
      <c r="AE5" s="107"/>
      <c r="AF5" s="107"/>
      <c r="AG5" s="107"/>
      <c r="AH5" s="107"/>
      <c r="AI5" s="94" t="s">
        <v>4</v>
      </c>
      <c r="AJ5" s="94"/>
      <c r="AK5" s="94"/>
      <c r="AL5" s="94"/>
      <c r="AM5" s="108" t="s">
        <v>5</v>
      </c>
      <c r="AN5" s="108"/>
      <c r="AO5" s="108"/>
      <c r="AP5" s="108"/>
      <c r="AQ5" s="108"/>
      <c r="AR5" s="108"/>
    </row>
    <row r="6" spans="1:44" s="2" customFormat="1" ht="15" customHeight="1" x14ac:dyDescent="0.25">
      <c r="A6" s="35"/>
      <c r="B6" s="91" t="s">
        <v>6</v>
      </c>
      <c r="C6" s="91" t="s">
        <v>7</v>
      </c>
      <c r="D6" s="91" t="s">
        <v>8</v>
      </c>
      <c r="E6" s="91"/>
      <c r="F6" s="91" t="s">
        <v>9</v>
      </c>
      <c r="G6" s="91" t="s">
        <v>10</v>
      </c>
      <c r="H6" s="91" t="s">
        <v>11</v>
      </c>
      <c r="I6" s="91" t="s">
        <v>12</v>
      </c>
      <c r="J6" s="91" t="s">
        <v>13</v>
      </c>
      <c r="K6" s="91" t="s">
        <v>14</v>
      </c>
      <c r="L6" s="91" t="s">
        <v>15</v>
      </c>
      <c r="M6" s="91" t="s">
        <v>16</v>
      </c>
      <c r="N6" s="91"/>
      <c r="O6" s="91" t="s">
        <v>17</v>
      </c>
      <c r="P6" s="91" t="s">
        <v>18</v>
      </c>
      <c r="Q6" s="91" t="s">
        <v>19</v>
      </c>
      <c r="R6" s="91" t="s">
        <v>20</v>
      </c>
      <c r="S6" s="91" t="s">
        <v>21</v>
      </c>
      <c r="T6" s="91"/>
      <c r="U6" s="91"/>
      <c r="V6" s="91"/>
      <c r="W6" s="91"/>
      <c r="X6" s="91"/>
      <c r="Y6" s="91"/>
      <c r="Z6" s="91"/>
      <c r="AA6" s="91"/>
      <c r="AB6" s="91"/>
      <c r="AC6" s="91"/>
      <c r="AD6" s="91"/>
      <c r="AE6" s="91"/>
      <c r="AF6" s="91"/>
      <c r="AG6" s="92" t="s">
        <v>22</v>
      </c>
      <c r="AH6" s="92" t="s">
        <v>23</v>
      </c>
      <c r="AI6" s="91" t="s">
        <v>24</v>
      </c>
      <c r="AJ6" s="91" t="s">
        <v>25</v>
      </c>
      <c r="AK6" s="91" t="s">
        <v>26</v>
      </c>
      <c r="AL6" s="91"/>
      <c r="AM6" s="91" t="s">
        <v>27</v>
      </c>
      <c r="AN6" s="91" t="s">
        <v>28</v>
      </c>
      <c r="AO6" s="91" t="s">
        <v>29</v>
      </c>
      <c r="AP6" s="91" t="s">
        <v>30</v>
      </c>
      <c r="AQ6" s="91" t="s">
        <v>31</v>
      </c>
      <c r="AR6" s="91" t="s">
        <v>32</v>
      </c>
    </row>
    <row r="7" spans="1:44" s="2" customFormat="1" ht="114" customHeight="1" x14ac:dyDescent="0.25">
      <c r="A7" s="35" t="s">
        <v>63</v>
      </c>
      <c r="B7" s="91" t="s">
        <v>33</v>
      </c>
      <c r="C7" s="91"/>
      <c r="D7" s="20" t="s">
        <v>34</v>
      </c>
      <c r="E7" s="20" t="s">
        <v>35</v>
      </c>
      <c r="F7" s="91"/>
      <c r="G7" s="91"/>
      <c r="H7" s="91"/>
      <c r="I7" s="91"/>
      <c r="J7" s="91"/>
      <c r="K7" s="91"/>
      <c r="L7" s="91"/>
      <c r="M7" s="91"/>
      <c r="N7" s="91"/>
      <c r="O7" s="91"/>
      <c r="P7" s="91"/>
      <c r="Q7" s="91"/>
      <c r="R7" s="91"/>
      <c r="S7" s="91" t="s">
        <v>36</v>
      </c>
      <c r="T7" s="91"/>
      <c r="U7" s="91" t="s">
        <v>230</v>
      </c>
      <c r="V7" s="91"/>
      <c r="W7" s="91" t="s">
        <v>37</v>
      </c>
      <c r="X7" s="91"/>
      <c r="Y7" s="91" t="s">
        <v>38</v>
      </c>
      <c r="Z7" s="91"/>
      <c r="AA7" s="91" t="s">
        <v>39</v>
      </c>
      <c r="AB7" s="91"/>
      <c r="AC7" s="91" t="s">
        <v>40</v>
      </c>
      <c r="AD7" s="91"/>
      <c r="AE7" s="91" t="s">
        <v>41</v>
      </c>
      <c r="AF7" s="91"/>
      <c r="AG7" s="92"/>
      <c r="AH7" s="92"/>
      <c r="AI7" s="91"/>
      <c r="AJ7" s="91"/>
      <c r="AK7" s="91"/>
      <c r="AL7" s="91"/>
      <c r="AM7" s="91"/>
      <c r="AN7" s="91"/>
      <c r="AO7" s="91"/>
      <c r="AP7" s="91"/>
      <c r="AQ7" s="91"/>
      <c r="AR7" s="91"/>
    </row>
    <row r="8" spans="1:44" s="1" customFormat="1" ht="155.25" customHeight="1" x14ac:dyDescent="0.25">
      <c r="A8" s="28" t="s">
        <v>219</v>
      </c>
      <c r="B8" s="26">
        <v>1</v>
      </c>
      <c r="C8" s="28" t="s">
        <v>42</v>
      </c>
      <c r="D8" s="3" t="s">
        <v>43</v>
      </c>
      <c r="E8" s="3"/>
      <c r="F8" s="26" t="s">
        <v>42</v>
      </c>
      <c r="G8" s="4" t="s">
        <v>44</v>
      </c>
      <c r="H8" s="37" t="s">
        <v>45</v>
      </c>
      <c r="I8" s="25" t="s">
        <v>46</v>
      </c>
      <c r="J8" s="4" t="s">
        <v>47</v>
      </c>
      <c r="K8" s="71">
        <v>3</v>
      </c>
      <c r="L8" s="74">
        <v>4</v>
      </c>
      <c r="M8" s="6">
        <f>K8*L8</f>
        <v>12</v>
      </c>
      <c r="N8" s="7" t="str">
        <f>IF(AND(K8=1,L8=1),"BAJO",IF(AND(K8=1,L8=2),"BAJO",IF(AND(K8=2,L8=1),"BAJO",IF(AND(K8=2,L8=2),"BAJO",IF(AND(K8=3,L8=1),"BAJO",IF(AND(K8=1,L8=3),"MODERADO",IF(AND(K8=2,L8=3),"MODERADO",IF(AND(K8=3,L8=2),"MODERADO",IF(AND(K8=4,L8=1),"MODERADO",IF(AND(K8=5,L8=1),"ALTO",IF(AND(K8=4,L8=2),"ALTO",IF(AND(K8=3,L8=3),"ALTO",IF(AND(K8=2,L8=4),"ALTO",IF(AND(K8=1,L8=4),"ALTO",IF(AND(K8=5,L8=2),"ALTO",IF(AND(K8=4,L8=3),"ALTO","EXTREMO"))))))))))))))))</f>
        <v>EXTREMO</v>
      </c>
      <c r="O8" s="55" t="s">
        <v>231</v>
      </c>
      <c r="P8" s="26" t="s">
        <v>48</v>
      </c>
      <c r="Q8" s="28" t="s">
        <v>49</v>
      </c>
      <c r="R8" s="28" t="s">
        <v>49</v>
      </c>
      <c r="S8" s="8" t="s">
        <v>50</v>
      </c>
      <c r="T8" s="29">
        <f>IF(S8="Asignado",[1]Listas!$C$30,[1]Listas!$C$31)</f>
        <v>15</v>
      </c>
      <c r="U8" s="8" t="s">
        <v>51</v>
      </c>
      <c r="V8" s="29">
        <f>IF(U8="Adecuado",[1]Listas!$C$32,[1]Listas!$C$33)</f>
        <v>15</v>
      </c>
      <c r="W8" s="8" t="s">
        <v>52</v>
      </c>
      <c r="X8" s="29">
        <f>IF(W8="Oportuna",[1]Listas!$C$34,[1]Listas!$C$35)</f>
        <v>15</v>
      </c>
      <c r="Y8" s="8" t="s">
        <v>53</v>
      </c>
      <c r="Z8" s="29">
        <f>IF(Y8="Prevenir",[1]Listas!$C$36,IF(Y8="Detectar",[1]Listas!$C$37,[1]Listas!$C$38))</f>
        <v>15</v>
      </c>
      <c r="AA8" s="8" t="s">
        <v>54</v>
      </c>
      <c r="AB8" s="29">
        <f>IF(AA8="Confiable",[1]Listas!$C$39,[1]Listas!$C$40)</f>
        <v>15</v>
      </c>
      <c r="AC8" s="8" t="s">
        <v>55</v>
      </c>
      <c r="AD8" s="29">
        <f>IF(AC8="Se investigan y resuelven oportunamente",[1]Listas!$C$41,[1]Listas!$C$42)</f>
        <v>15</v>
      </c>
      <c r="AE8" s="8" t="s">
        <v>56</v>
      </c>
      <c r="AF8" s="29">
        <f>IF(AE8="Completa",[1]Listas!$C$43,IF(AE8="Incompleta",[1]Listas!$C$44,[1]Listas!$C$45))</f>
        <v>10</v>
      </c>
      <c r="AG8" s="26">
        <f>T8+V8+X8+Z8+AB8+AD8+AF8</f>
        <v>100</v>
      </c>
      <c r="AH8" s="3">
        <f>AVERAGE(AG8:AG8)</f>
        <v>100</v>
      </c>
      <c r="AI8" s="5">
        <v>1</v>
      </c>
      <c r="AJ8" s="61">
        <v>3</v>
      </c>
      <c r="AK8" s="6">
        <f>AI8*AJ8</f>
        <v>3</v>
      </c>
      <c r="AL8" s="9" t="str">
        <f>IF(AND(AI8=1,AJ8=1),"BAJO",IF(AND(AI8=1,AJ8=2),"BAJO",IF(AND(AI8=2,AJ8=1),"BAJO",IF(AND(AI8=2,AJ8=2),"BAJO",IF(AND(AI8=3,AJ8=1),"BAJO",IF(AND(AI8=1,AJ8=3),"MODERADO",IF(AND(AI8=2,AJ8=3),"MODERADO",IF(AND(AI8=3,AJ8=2),"MODERADO",IF(AND(AI8=4,AJ8=1),"MODERADO",IF(AND(AI8=5,AJ8=1),"ALTO",IF(AND(AI8=4,AJ8=2),"ALTO",IF(AND(AI8=3,AJ8=3),"ALTO",IF(AND(AI8=2,AJ8=4),"ALTO",IF(AND(AI8=1,AJ8=4),"ALTO",IF(AND(AI8=5,AJ8=2),"ALTO",IF(AND(AI8=4,AJ8=3),"ALTO","EXTREMO"))))))))))))))))</f>
        <v>MODERADO</v>
      </c>
      <c r="AM8" s="29" t="s">
        <v>57</v>
      </c>
      <c r="AN8" s="64" t="s">
        <v>58</v>
      </c>
      <c r="AO8" s="64" t="s">
        <v>59</v>
      </c>
      <c r="AP8" s="64" t="s">
        <v>60</v>
      </c>
      <c r="AQ8" s="65" t="s">
        <v>61</v>
      </c>
      <c r="AR8" s="64" t="s">
        <v>62</v>
      </c>
    </row>
    <row r="9" spans="1:44" s="1" customFormat="1" ht="142.5" customHeight="1" x14ac:dyDescent="0.25">
      <c r="A9" s="28" t="s">
        <v>222</v>
      </c>
      <c r="B9" s="26">
        <v>2</v>
      </c>
      <c r="C9" s="26" t="s">
        <v>42</v>
      </c>
      <c r="D9" s="3"/>
      <c r="E9" s="3" t="s">
        <v>64</v>
      </c>
      <c r="F9" s="28" t="s">
        <v>42</v>
      </c>
      <c r="G9" s="4" t="s">
        <v>65</v>
      </c>
      <c r="H9" s="37" t="s">
        <v>66</v>
      </c>
      <c r="I9" s="25" t="s">
        <v>67</v>
      </c>
      <c r="J9" s="4" t="s">
        <v>47</v>
      </c>
      <c r="K9" s="71">
        <v>3</v>
      </c>
      <c r="L9" s="72">
        <v>4</v>
      </c>
      <c r="M9" s="6">
        <f>K9*L9</f>
        <v>12</v>
      </c>
      <c r="N9" s="7" t="str">
        <f>IF(AND(K9=1,L9=1),"BAJO",IF(AND(K9=1,L9=2),"BAJO",IF(AND(K9=2,L9=1),"BAJO",IF(AND(K9=2,L9=2),"BAJO",IF(AND(K9=3,L9=1),"BAJO",IF(AND(K9=1,L9=3),"MODERADO",IF(AND(K9=2,L9=3),"MODERADO",IF(AND(K9=3,L9=2),"MODERADO",IF(AND(K9=4,L9=1),"MODERADO",IF(AND(K9=5,L9=1),"ALTO",IF(AND(K9=4,L9=2),"ALTO",IF(AND(K9=3,L9=3),"ALTO",IF(AND(K9=2,L9=4),"ALTO",IF(AND(K9=1,L9=4),"ALTO",IF(AND(K9=5,L9=2),"ALTO",IF(AND(K9=4,L9=3),"ALTO","EXTREMO"))))))))))))))))</f>
        <v>EXTREMO</v>
      </c>
      <c r="O9" s="55" t="s">
        <v>232</v>
      </c>
      <c r="P9" s="26" t="s">
        <v>48</v>
      </c>
      <c r="Q9" s="28" t="s">
        <v>49</v>
      </c>
      <c r="R9" s="28" t="s">
        <v>49</v>
      </c>
      <c r="S9" s="8" t="s">
        <v>50</v>
      </c>
      <c r="T9" s="29">
        <f>IF(S9="Asignado",[2]Listas!$C$30,[2]Listas!$C$31)</f>
        <v>15</v>
      </c>
      <c r="U9" s="8" t="s">
        <v>51</v>
      </c>
      <c r="V9" s="29">
        <f>IF(U9="Adecuado",[2]Listas!$C$32,[2]Listas!$C$33)</f>
        <v>15</v>
      </c>
      <c r="W9" s="8" t="s">
        <v>52</v>
      </c>
      <c r="X9" s="29">
        <f>IF(W9="Oportuna",[2]Listas!$C$34,[2]Listas!$C$35)</f>
        <v>15</v>
      </c>
      <c r="Y9" s="8" t="s">
        <v>68</v>
      </c>
      <c r="Z9" s="29">
        <f>IF(Y9="Prevenir",[2]Listas!$C$36,IF(Y9="Detectar",[2]Listas!$C$37,[2]Listas!$C$38))</f>
        <v>10</v>
      </c>
      <c r="AA9" s="8" t="s">
        <v>54</v>
      </c>
      <c r="AB9" s="29">
        <f>IF(AA9="Confiable",[2]Listas!$C$39,[2]Listas!$C$40)</f>
        <v>15</v>
      </c>
      <c r="AC9" s="8" t="s">
        <v>55</v>
      </c>
      <c r="AD9" s="29">
        <f>IF(AC9="Se investigan y resuelven oportunamente",[2]Listas!$C$41,[2]Listas!$C$42)</f>
        <v>15</v>
      </c>
      <c r="AE9" s="8" t="s">
        <v>56</v>
      </c>
      <c r="AF9" s="29">
        <f>IF(AE9="Completa",[2]Listas!$C$43,IF(AE9="Incompleta",[2]Listas!$C$44,[2]Listas!$C$45))</f>
        <v>10</v>
      </c>
      <c r="AG9" s="26">
        <f>T9+V9+X9+Z9+AB9+AD9+AF9</f>
        <v>95</v>
      </c>
      <c r="AH9" s="3">
        <f>AVERAGE(AG9:AG9)</f>
        <v>95</v>
      </c>
      <c r="AI9" s="5">
        <v>2</v>
      </c>
      <c r="AJ9" s="61">
        <v>3</v>
      </c>
      <c r="AK9" s="6">
        <f>AI9*AJ9</f>
        <v>6</v>
      </c>
      <c r="AL9" s="9" t="str">
        <f>IF(AND(AI9=1,AJ9=1),"BAJO",IF(AND(AI9=1,AJ9=2),"BAJO",IF(AND(AI9=2,AJ9=1),"BAJO",IF(AND(AI9=2,AJ9=2),"BAJO",IF(AND(AI9=3,AJ9=1),"BAJO",IF(AND(AI9=1,AJ9=3),"MODERADO",IF(AND(AI9=2,AJ9=3),"MODERADO",IF(AND(AI9=3,AJ9=2),"MODERADO",IF(AND(AI9=4,AJ9=1),"MODERADO",IF(AND(AI9=5,AJ9=1),"ALTO",IF(AND(AI9=4,AJ9=2),"ALTO",IF(AND(AI9=3,AJ9=3),"ALTO",IF(AND(AI9=2,AJ9=4),"ALTO",IF(AND(AI9=1,AJ9=4),"ALTO",IF(AND(AI9=5,AJ9=2),"ALTO",IF(AND(AI9=4,AJ9=3),"ALTO","EXTREMO"))))))))))))))))</f>
        <v>MODERADO</v>
      </c>
      <c r="AM9" s="29" t="s">
        <v>57</v>
      </c>
      <c r="AN9" s="64" t="s">
        <v>69</v>
      </c>
      <c r="AO9" s="64" t="s">
        <v>70</v>
      </c>
      <c r="AP9" s="64" t="s">
        <v>71</v>
      </c>
      <c r="AQ9" s="65" t="s">
        <v>72</v>
      </c>
      <c r="AR9" s="64" t="s">
        <v>73</v>
      </c>
    </row>
    <row r="10" spans="1:44" s="11" customFormat="1" ht="102" customHeight="1" x14ac:dyDescent="0.25">
      <c r="A10" s="99" t="s">
        <v>223</v>
      </c>
      <c r="B10" s="93">
        <v>3</v>
      </c>
      <c r="C10" s="83" t="s">
        <v>42</v>
      </c>
      <c r="D10" s="28" t="s">
        <v>74</v>
      </c>
      <c r="E10" s="28"/>
      <c r="F10" s="80" t="s">
        <v>42</v>
      </c>
      <c r="G10" s="38" t="s">
        <v>75</v>
      </c>
      <c r="H10" s="102" t="s">
        <v>76</v>
      </c>
      <c r="I10" s="103" t="s">
        <v>77</v>
      </c>
      <c r="J10" s="104" t="s">
        <v>47</v>
      </c>
      <c r="K10" s="105">
        <v>2</v>
      </c>
      <c r="L10" s="93">
        <v>4</v>
      </c>
      <c r="M10" s="109">
        <f t="shared" ref="M10" si="0">K10*L10</f>
        <v>8</v>
      </c>
      <c r="N10" s="95" t="str">
        <f t="shared" ref="N10" si="1">IF(AND(K10=1,L10=1),"BAJO",IF(AND(K10=1,L10=2),"BAJO",IF(AND(K10=2,L10=1),"BAJO",IF(AND(K10=2,L10=2),"BAJO",IF(AND(K10=3,L10=1),"BAJO",IF(AND(K10=1,L10=3),"MODERADO",IF(AND(K10=2,L10=3),"MODERADO",IF(AND(K10=3,L10=2),"MODERADO",IF(AND(K10=4,L10=1),"MODERADO",IF(AND(K10=5,L10=1),"ALTO",IF(AND(K10=4,L10=2),"ALTO",IF(AND(K10=3,L10=3),"ALTO",IF(AND(K10=2,L10=4),"ALTO",IF(AND(K10=1,L10=4),"ALTO",IF(AND(K10=5,L10=2),"ALTO",IF(AND(K10=4,L10=3),"ALTO","EXTREMO"))))))))))))))))</f>
        <v>ALTO</v>
      </c>
      <c r="O10" s="98" t="s">
        <v>233</v>
      </c>
      <c r="P10" s="93" t="s">
        <v>48</v>
      </c>
      <c r="Q10" s="99" t="s">
        <v>49</v>
      </c>
      <c r="R10" s="99" t="s">
        <v>78</v>
      </c>
      <c r="S10" s="89" t="s">
        <v>50</v>
      </c>
      <c r="T10" s="89">
        <f>IF(S10="Asignado",[3]Listas!$C$30,[3]Listas!$C$31)</f>
        <v>15</v>
      </c>
      <c r="U10" s="89" t="s">
        <v>51</v>
      </c>
      <c r="V10" s="89">
        <f>IF(U10="Adecuado",[3]Listas!$C$32,[3]Listas!$C$33)</f>
        <v>15</v>
      </c>
      <c r="W10" s="89" t="s">
        <v>52</v>
      </c>
      <c r="X10" s="89">
        <f>IF(W10="Oportuna",[3]Listas!$C$34,[3]Listas!$C$35)</f>
        <v>15</v>
      </c>
      <c r="Y10" s="89" t="s">
        <v>53</v>
      </c>
      <c r="Z10" s="89">
        <f>IF(Y10="Prevenir",[3]Listas!$C$36,IF(Y10="Detectar",[3]Listas!$C$37,[3]Listas!$C$38))</f>
        <v>15</v>
      </c>
      <c r="AA10" s="89" t="s">
        <v>54</v>
      </c>
      <c r="AB10" s="89">
        <f>IF(AA10="Confiable",[3]Listas!$C$39,[3]Listas!$C$40)</f>
        <v>15</v>
      </c>
      <c r="AC10" s="89" t="s">
        <v>55</v>
      </c>
      <c r="AD10" s="89">
        <f>IF(AC10="Se investigan y resuelven oportunamente",[3]Listas!$C$41,[3]Listas!$C$42)</f>
        <v>15</v>
      </c>
      <c r="AE10" s="89" t="s">
        <v>56</v>
      </c>
      <c r="AF10" s="89">
        <f>IF(AE10="Completa",[3]Listas!$C$43,IF(AE10="Incompleta",[3]Listas!$C$44,[3]Listas!$C$45))</f>
        <v>10</v>
      </c>
      <c r="AG10" s="93">
        <f t="shared" ref="AG10" si="2">T10+V10+X10+Z10+AB10+AD10+AF10</f>
        <v>100</v>
      </c>
      <c r="AH10" s="93">
        <v>100</v>
      </c>
      <c r="AI10" s="105">
        <v>1</v>
      </c>
      <c r="AJ10" s="93">
        <v>3</v>
      </c>
      <c r="AK10" s="94">
        <f>AI10*AJ10</f>
        <v>3</v>
      </c>
      <c r="AL10" s="95" t="str">
        <f>IF(AND(AI10=1,AJ10=1),"BAJO",IF(AND(AI10=1,AJ10=2),"BAJO",IF(AND(AI10=2,AJ10=1),"BAJO",IF(AND(AI10=2,AJ10=2),"BAJO",IF(AND(AI10=3,AJ10=1),"BAJO",IF(AND(AI10=1,AJ10=3),"MODERADO",IF(AND(AI10=2,AJ10=3),"MODERADO",IF(AND(AI10=3,AJ10=2),"MODERADO",IF(AND(AI10=4,AJ10=1),"MODERADO",IF(AND(AI10=5,AJ10=1),"ALTO",IF(AND(AI10=4,AJ10=2),"ALTO",IF(AND(AI10=3,AJ10=3),"ALTO",IF(AND(AI10=2,AJ10=4),"ALTO",IF(AND(AI10=1,AJ10=4),"ALTO",IF(AND(AI10=5,AJ10=2),"ALTO",IF(AND(AI10=4,AJ10=3),"ALTO","EXTREMO"))))))))))))))))</f>
        <v>MODERADO</v>
      </c>
      <c r="AM10" s="89" t="s">
        <v>79</v>
      </c>
      <c r="AN10" s="117" t="s">
        <v>234</v>
      </c>
      <c r="AO10" s="117" t="s">
        <v>80</v>
      </c>
      <c r="AP10" s="117" t="s">
        <v>81</v>
      </c>
      <c r="AQ10" s="117" t="s">
        <v>82</v>
      </c>
      <c r="AR10" s="117" t="s">
        <v>83</v>
      </c>
    </row>
    <row r="11" spans="1:44" s="11" customFormat="1" ht="49.5" customHeight="1" x14ac:dyDescent="0.25">
      <c r="A11" s="99"/>
      <c r="B11" s="93"/>
      <c r="C11" s="96"/>
      <c r="D11" s="28" t="s">
        <v>74</v>
      </c>
      <c r="E11" s="28"/>
      <c r="F11" s="81"/>
      <c r="G11" s="24" t="s">
        <v>84</v>
      </c>
      <c r="H11" s="102"/>
      <c r="I11" s="103"/>
      <c r="J11" s="104"/>
      <c r="K11" s="105"/>
      <c r="L11" s="93"/>
      <c r="M11" s="109"/>
      <c r="N11" s="95"/>
      <c r="O11" s="98"/>
      <c r="P11" s="93"/>
      <c r="Q11" s="99"/>
      <c r="R11" s="99"/>
      <c r="S11" s="89"/>
      <c r="T11" s="89"/>
      <c r="U11" s="89"/>
      <c r="V11" s="89"/>
      <c r="W11" s="89"/>
      <c r="X11" s="89"/>
      <c r="Y11" s="89"/>
      <c r="Z11" s="89"/>
      <c r="AA11" s="89"/>
      <c r="AB11" s="89"/>
      <c r="AC11" s="89"/>
      <c r="AD11" s="89"/>
      <c r="AE11" s="89"/>
      <c r="AF11" s="89"/>
      <c r="AG11" s="93"/>
      <c r="AH11" s="93"/>
      <c r="AI11" s="105"/>
      <c r="AJ11" s="93"/>
      <c r="AK11" s="94"/>
      <c r="AL11" s="95"/>
      <c r="AM11" s="89"/>
      <c r="AN11" s="117"/>
      <c r="AO11" s="117"/>
      <c r="AP11" s="117"/>
      <c r="AQ11" s="117"/>
      <c r="AR11" s="117"/>
    </row>
    <row r="12" spans="1:44" s="11" customFormat="1" ht="44.25" customHeight="1" x14ac:dyDescent="0.25">
      <c r="A12" s="99"/>
      <c r="B12" s="93"/>
      <c r="C12" s="96"/>
      <c r="D12" s="28" t="s">
        <v>74</v>
      </c>
      <c r="E12" s="28"/>
      <c r="F12" s="81"/>
      <c r="G12" s="31" t="s">
        <v>235</v>
      </c>
      <c r="H12" s="102"/>
      <c r="I12" s="103"/>
      <c r="J12" s="104"/>
      <c r="K12" s="105"/>
      <c r="L12" s="93"/>
      <c r="M12" s="109"/>
      <c r="N12" s="95"/>
      <c r="O12" s="98"/>
      <c r="P12" s="93"/>
      <c r="Q12" s="99"/>
      <c r="R12" s="99"/>
      <c r="S12" s="89"/>
      <c r="T12" s="89"/>
      <c r="U12" s="89"/>
      <c r="V12" s="89"/>
      <c r="W12" s="89"/>
      <c r="X12" s="89"/>
      <c r="Y12" s="89"/>
      <c r="Z12" s="89"/>
      <c r="AA12" s="89"/>
      <c r="AB12" s="89"/>
      <c r="AC12" s="89"/>
      <c r="AD12" s="89"/>
      <c r="AE12" s="89"/>
      <c r="AF12" s="89"/>
      <c r="AG12" s="93"/>
      <c r="AH12" s="93"/>
      <c r="AI12" s="105"/>
      <c r="AJ12" s="93"/>
      <c r="AK12" s="94"/>
      <c r="AL12" s="95"/>
      <c r="AM12" s="89"/>
      <c r="AN12" s="117"/>
      <c r="AO12" s="117"/>
      <c r="AP12" s="117"/>
      <c r="AQ12" s="117"/>
      <c r="AR12" s="117"/>
    </row>
    <row r="13" spans="1:44" s="11" customFormat="1" ht="43.5" customHeight="1" x14ac:dyDescent="0.25">
      <c r="A13" s="99"/>
      <c r="B13" s="93"/>
      <c r="C13" s="84"/>
      <c r="D13" s="28" t="s">
        <v>74</v>
      </c>
      <c r="E13" s="28"/>
      <c r="F13" s="82"/>
      <c r="G13" s="30" t="s">
        <v>85</v>
      </c>
      <c r="H13" s="102"/>
      <c r="I13" s="103"/>
      <c r="J13" s="104"/>
      <c r="K13" s="105"/>
      <c r="L13" s="93"/>
      <c r="M13" s="109"/>
      <c r="N13" s="95"/>
      <c r="O13" s="98"/>
      <c r="P13" s="93"/>
      <c r="Q13" s="99"/>
      <c r="R13" s="99"/>
      <c r="S13" s="89"/>
      <c r="T13" s="89"/>
      <c r="U13" s="89"/>
      <c r="V13" s="89"/>
      <c r="W13" s="89"/>
      <c r="X13" s="89"/>
      <c r="Y13" s="89"/>
      <c r="Z13" s="89"/>
      <c r="AA13" s="89"/>
      <c r="AB13" s="89"/>
      <c r="AC13" s="89"/>
      <c r="AD13" s="89"/>
      <c r="AE13" s="89"/>
      <c r="AF13" s="89"/>
      <c r="AG13" s="93"/>
      <c r="AH13" s="93"/>
      <c r="AI13" s="105"/>
      <c r="AJ13" s="93"/>
      <c r="AK13" s="94"/>
      <c r="AL13" s="95"/>
      <c r="AM13" s="89"/>
      <c r="AN13" s="117"/>
      <c r="AO13" s="117"/>
      <c r="AP13" s="117"/>
      <c r="AQ13" s="117"/>
      <c r="AR13" s="117"/>
    </row>
    <row r="14" spans="1:44" s="11" customFormat="1" ht="123" customHeight="1" x14ac:dyDescent="0.25">
      <c r="A14" s="99" t="s">
        <v>220</v>
      </c>
      <c r="B14" s="93">
        <v>4</v>
      </c>
      <c r="C14" s="12"/>
      <c r="D14" s="28" t="s">
        <v>74</v>
      </c>
      <c r="E14" s="28"/>
      <c r="F14" s="100" t="s">
        <v>42</v>
      </c>
      <c r="G14" s="118" t="s">
        <v>86</v>
      </c>
      <c r="H14" s="119" t="s">
        <v>87</v>
      </c>
      <c r="I14" s="103" t="s">
        <v>88</v>
      </c>
      <c r="J14" s="120" t="s">
        <v>47</v>
      </c>
      <c r="K14" s="105">
        <v>3</v>
      </c>
      <c r="L14" s="121">
        <v>4</v>
      </c>
      <c r="M14" s="94">
        <f t="shared" ref="M14" si="3">K14*L14</f>
        <v>12</v>
      </c>
      <c r="N14" s="95" t="str">
        <f t="shared" ref="N14" si="4">IF(AND(K14=1,L14=1),"BAJO",IF(AND(K14=1,L14=2),"BAJO",IF(AND(K14=2,L14=1),"BAJO",IF(AND(K14=2,L14=2),"BAJO",IF(AND(K14=3,L14=1),"BAJO",IF(AND(K14=1,L14=3),"MODERADO",IF(AND(K14=2,L14=3),"MODERADO",IF(AND(K14=3,L14=2),"MODERADO",IF(AND(K14=4,L14=1),"MODERADO",IF(AND(K14=5,L14=1),"ALTO",IF(AND(K14=4,L14=2),"ALTO",IF(AND(K14=3,L14=3),"ALTO",IF(AND(K14=2,L14=4),"ALTO",IF(AND(K14=1,L14=4),"ALTO",IF(AND(K14=5,L14=2),"ALTO",IF(AND(K14=4,L14=3),"ALTO","EXTREMO"))))))))))))))))</f>
        <v>EXTREMO</v>
      </c>
      <c r="O14" s="98" t="s">
        <v>89</v>
      </c>
      <c r="P14" s="93" t="s">
        <v>48</v>
      </c>
      <c r="Q14" s="99" t="s">
        <v>49</v>
      </c>
      <c r="R14" s="99" t="s">
        <v>90</v>
      </c>
      <c r="S14" s="89" t="s">
        <v>50</v>
      </c>
      <c r="T14" s="89">
        <f>IF(S14="Asignado",[4]Listas!$C$30,[4]Listas!$C$31)</f>
        <v>15</v>
      </c>
      <c r="U14" s="89" t="s">
        <v>51</v>
      </c>
      <c r="V14" s="89">
        <f>IF(U14="Adecuado",[4]Listas!$C$32,[4]Listas!$C$33)</f>
        <v>15</v>
      </c>
      <c r="W14" s="89" t="s">
        <v>52</v>
      </c>
      <c r="X14" s="89">
        <f>IF(W14="Oportuna",[4]Listas!$C$34,[4]Listas!$C$35)</f>
        <v>15</v>
      </c>
      <c r="Y14" s="89" t="s">
        <v>53</v>
      </c>
      <c r="Z14" s="89">
        <f>IF(Y14="Prevenir",[4]Listas!$C$36,IF(Y14="Detectar",[4]Listas!$C$37,[4]Listas!$C$38))</f>
        <v>15</v>
      </c>
      <c r="AA14" s="89" t="s">
        <v>54</v>
      </c>
      <c r="AB14" s="89">
        <f>IF(AA14="Confiable",[4]Listas!$C$39,[4]Listas!$C$40)</f>
        <v>15</v>
      </c>
      <c r="AC14" s="89" t="s">
        <v>55</v>
      </c>
      <c r="AD14" s="89">
        <f>IF(AC14="Se investigan y resuelven oportunamente",[4]Listas!$C$41,[4]Listas!$C$42)</f>
        <v>15</v>
      </c>
      <c r="AE14" s="89" t="s">
        <v>56</v>
      </c>
      <c r="AF14" s="89">
        <f>IF(AE14="Completa",[4]Listas!$C$43,IF(AE14="Incompleta",[4]Listas!$C$44,[4]Listas!$C$45))</f>
        <v>10</v>
      </c>
      <c r="AG14" s="93">
        <f t="shared" ref="AG14" si="5">T14+V14+X14+Z14+AB14+AD14+AF14</f>
        <v>100</v>
      </c>
      <c r="AH14" s="93">
        <f>AVERAGE(AG14:AG14)</f>
        <v>100</v>
      </c>
      <c r="AI14" s="105">
        <v>1</v>
      </c>
      <c r="AJ14" s="118">
        <v>3</v>
      </c>
      <c r="AK14" s="94">
        <v>4</v>
      </c>
      <c r="AL14" s="95" t="str">
        <f>IF(AND(AI14=1,AJ14=1),"BAJO",IF(AND(AI14=1,AJ14=2),"BAJO",IF(AND(AI14=2,AJ14=1),"BAJO",IF(AND(AI14=2,AJ14=2),"BAJO",IF(AND(AI14=3,AJ14=1),"BAJO",IF(AND(AI14=1,AJ14=3),"MODERADO",IF(AND(AI14=2,AJ14=3),"MODERADO",IF(AND(AI14=3,AJ14=2),"MODERADO",IF(AND(AI14=4,AJ14=1),"MODERADO",IF(AND(AI14=5,AJ14=1),"ALTO",IF(AND(AI14=4,AJ14=2),"ALTO",IF(AND(AI14=3,AJ14=3),"ALTO",IF(AND(AI14=2,AJ14=4),"ALTO",IF(AND(AI14=1,AJ14=4),"ALTO",IF(AND(AI14=5,AJ14=2),"ALTO",IF(AND(AI14=4,AJ14=3),"ALTO","EXTREMO"))))))))))))))))</f>
        <v>MODERADO</v>
      </c>
      <c r="AM14" s="89" t="s">
        <v>79</v>
      </c>
      <c r="AN14" s="123" t="s">
        <v>91</v>
      </c>
      <c r="AO14" s="123" t="s">
        <v>92</v>
      </c>
      <c r="AP14" s="117" t="s">
        <v>93</v>
      </c>
      <c r="AQ14" s="117" t="s">
        <v>94</v>
      </c>
      <c r="AR14" s="122" t="s">
        <v>95</v>
      </c>
    </row>
    <row r="15" spans="1:44" s="11" customFormat="1" ht="50.25" customHeight="1" x14ac:dyDescent="0.25">
      <c r="A15" s="99"/>
      <c r="B15" s="93"/>
      <c r="C15" s="12"/>
      <c r="D15" s="28"/>
      <c r="E15" s="28" t="s">
        <v>64</v>
      </c>
      <c r="F15" s="101"/>
      <c r="G15" s="118"/>
      <c r="H15" s="119"/>
      <c r="I15" s="103"/>
      <c r="J15" s="120"/>
      <c r="K15" s="105"/>
      <c r="L15" s="121"/>
      <c r="M15" s="94"/>
      <c r="N15" s="95"/>
      <c r="O15" s="98"/>
      <c r="P15" s="93"/>
      <c r="Q15" s="99"/>
      <c r="R15" s="99"/>
      <c r="S15" s="89"/>
      <c r="T15" s="89"/>
      <c r="U15" s="89"/>
      <c r="V15" s="89"/>
      <c r="W15" s="89"/>
      <c r="X15" s="89"/>
      <c r="Y15" s="89"/>
      <c r="Z15" s="89"/>
      <c r="AA15" s="89"/>
      <c r="AB15" s="89"/>
      <c r="AC15" s="89"/>
      <c r="AD15" s="89"/>
      <c r="AE15" s="89"/>
      <c r="AF15" s="89"/>
      <c r="AG15" s="93"/>
      <c r="AH15" s="93"/>
      <c r="AI15" s="105"/>
      <c r="AJ15" s="118"/>
      <c r="AK15" s="94"/>
      <c r="AL15" s="95"/>
      <c r="AM15" s="89"/>
      <c r="AN15" s="123"/>
      <c r="AO15" s="123"/>
      <c r="AP15" s="117"/>
      <c r="AQ15" s="117"/>
      <c r="AR15" s="122"/>
    </row>
    <row r="16" spans="1:44" s="11" customFormat="1" ht="102" customHeight="1" x14ac:dyDescent="0.25">
      <c r="A16" s="99" t="s">
        <v>224</v>
      </c>
      <c r="B16" s="93">
        <v>5</v>
      </c>
      <c r="C16" s="83" t="s">
        <v>42</v>
      </c>
      <c r="D16" s="28" t="s">
        <v>74</v>
      </c>
      <c r="E16" s="28"/>
      <c r="F16" s="80" t="s">
        <v>42</v>
      </c>
      <c r="G16" s="38" t="s">
        <v>75</v>
      </c>
      <c r="H16" s="102" t="s">
        <v>76</v>
      </c>
      <c r="I16" s="103" t="s">
        <v>77</v>
      </c>
      <c r="J16" s="104" t="s">
        <v>47</v>
      </c>
      <c r="K16" s="105">
        <v>2</v>
      </c>
      <c r="L16" s="93">
        <v>4</v>
      </c>
      <c r="M16" s="109">
        <f t="shared" ref="M16" si="6">K16*L16</f>
        <v>8</v>
      </c>
      <c r="N16" s="95" t="str">
        <f t="shared" ref="N16" si="7">IF(AND(K16=1,L16=1),"BAJO",IF(AND(K16=1,L16=2),"BAJO",IF(AND(K16=2,L16=1),"BAJO",IF(AND(K16=2,L16=2),"BAJO",IF(AND(K16=3,L16=1),"BAJO",IF(AND(K16=1,L16=3),"MODERADO",IF(AND(K16=2,L16=3),"MODERADO",IF(AND(K16=3,L16=2),"MODERADO",IF(AND(K16=4,L16=1),"MODERADO",IF(AND(K16=5,L16=1),"ALTO",IF(AND(K16=4,L16=2),"ALTO",IF(AND(K16=3,L16=3),"ALTO",IF(AND(K16=2,L16=4),"ALTO",IF(AND(K16=1,L16=4),"ALTO",IF(AND(K16=5,L16=2),"ALTO",IF(AND(K16=4,L16=3),"ALTO","EXTREMO"))))))))))))))))</f>
        <v>ALTO</v>
      </c>
      <c r="O16" s="98" t="s">
        <v>236</v>
      </c>
      <c r="P16" s="93" t="s">
        <v>48</v>
      </c>
      <c r="Q16" s="99" t="s">
        <v>49</v>
      </c>
      <c r="R16" s="99" t="s">
        <v>78</v>
      </c>
      <c r="S16" s="89" t="s">
        <v>50</v>
      </c>
      <c r="T16" s="89">
        <f>IF(S16="Asignado",[5]Listas!$C$30,[5]Listas!$C$31)</f>
        <v>15</v>
      </c>
      <c r="U16" s="89" t="s">
        <v>51</v>
      </c>
      <c r="V16" s="89">
        <f>IF(U16="Adecuado",[5]Listas!$C$32,[5]Listas!$C$33)</f>
        <v>15</v>
      </c>
      <c r="W16" s="89" t="s">
        <v>52</v>
      </c>
      <c r="X16" s="89">
        <f>IF(W16="Oportuna",[5]Listas!$C$34,[5]Listas!$C$35)</f>
        <v>15</v>
      </c>
      <c r="Y16" s="89" t="s">
        <v>53</v>
      </c>
      <c r="Z16" s="89">
        <f>IF(Y16="Prevenir",[5]Listas!$C$36,IF(Y16="Detectar",[5]Listas!$C$37,[5]Listas!$C$38))</f>
        <v>15</v>
      </c>
      <c r="AA16" s="89" t="s">
        <v>54</v>
      </c>
      <c r="AB16" s="89">
        <f>IF(AA16="Confiable",[5]Listas!$C$39,[5]Listas!$C$40)</f>
        <v>15</v>
      </c>
      <c r="AC16" s="89" t="s">
        <v>55</v>
      </c>
      <c r="AD16" s="89">
        <f>IF(AC16="Se investigan y resuelven oportunamente",[5]Listas!$C$41,[5]Listas!$C$42)</f>
        <v>15</v>
      </c>
      <c r="AE16" s="89" t="s">
        <v>56</v>
      </c>
      <c r="AF16" s="89">
        <f>IF(AE16="Completa",[5]Listas!$C$43,IF(AE16="Incompleta",[5]Listas!$C$44,[5]Listas!$C$45))</f>
        <v>10</v>
      </c>
      <c r="AG16" s="93">
        <f t="shared" ref="AG16" si="8">T16+V16+X16+Z16+AB16+AD16+AF16</f>
        <v>100</v>
      </c>
      <c r="AH16" s="93">
        <v>100</v>
      </c>
      <c r="AI16" s="105">
        <v>1</v>
      </c>
      <c r="AJ16" s="93">
        <v>4</v>
      </c>
      <c r="AK16" s="94">
        <f>AI16*AJ16</f>
        <v>4</v>
      </c>
      <c r="AL16" s="95" t="str">
        <f>IF(AND(AI16=1,AJ16=1),"BAJO",IF(AND(AI16=1,AJ16=2),"BAJO",IF(AND(AI16=2,AJ16=1),"BAJO",IF(AND(AI16=2,AJ16=2),"BAJO",IF(AND(AI16=3,AJ16=1),"BAJO",IF(AND(AI16=1,AJ16=3),"MODERADO",IF(AND(AI16=2,AJ16=3),"MODERADO",IF(AND(AI16=3,AJ16=2),"MODERADO",IF(AND(AI16=4,AJ16=1),"MODERADO",IF(AND(AI16=5,AJ16=1),"ALTO",IF(AND(AI16=4,AJ16=2),"ALTO",IF(AND(AI16=3,AJ16=3),"ALTO",IF(AND(AI16=2,AJ16=4),"ALTO",IF(AND(AI16=1,AJ16=4),"ALTO",IF(AND(AI16=5,AJ16=2),"ALTO",IF(AND(AI16=4,AJ16=3),"ALTO","EXTREMO"))))))))))))))))</f>
        <v>ALTO</v>
      </c>
      <c r="AM16" s="89" t="s">
        <v>79</v>
      </c>
      <c r="AN16" s="117" t="s">
        <v>234</v>
      </c>
      <c r="AO16" s="117" t="s">
        <v>80</v>
      </c>
      <c r="AP16" s="117" t="s">
        <v>81</v>
      </c>
      <c r="AQ16" s="117" t="s">
        <v>82</v>
      </c>
      <c r="AR16" s="117" t="s">
        <v>83</v>
      </c>
    </row>
    <row r="17" spans="1:44" s="11" customFormat="1" ht="47.25" customHeight="1" x14ac:dyDescent="0.25">
      <c r="A17" s="99"/>
      <c r="B17" s="93"/>
      <c r="C17" s="96"/>
      <c r="D17" s="28" t="s">
        <v>74</v>
      </c>
      <c r="E17" s="28"/>
      <c r="F17" s="81"/>
      <c r="G17" s="24" t="s">
        <v>84</v>
      </c>
      <c r="H17" s="102"/>
      <c r="I17" s="103"/>
      <c r="J17" s="104"/>
      <c r="K17" s="105"/>
      <c r="L17" s="93"/>
      <c r="M17" s="109"/>
      <c r="N17" s="95"/>
      <c r="O17" s="98"/>
      <c r="P17" s="93"/>
      <c r="Q17" s="99"/>
      <c r="R17" s="99"/>
      <c r="S17" s="89"/>
      <c r="T17" s="89"/>
      <c r="U17" s="89"/>
      <c r="V17" s="89"/>
      <c r="W17" s="89"/>
      <c r="X17" s="89"/>
      <c r="Y17" s="89"/>
      <c r="Z17" s="89"/>
      <c r="AA17" s="89"/>
      <c r="AB17" s="89"/>
      <c r="AC17" s="89"/>
      <c r="AD17" s="89"/>
      <c r="AE17" s="89"/>
      <c r="AF17" s="89"/>
      <c r="AG17" s="93"/>
      <c r="AH17" s="93"/>
      <c r="AI17" s="105"/>
      <c r="AJ17" s="93"/>
      <c r="AK17" s="94"/>
      <c r="AL17" s="95"/>
      <c r="AM17" s="89"/>
      <c r="AN17" s="117"/>
      <c r="AO17" s="117"/>
      <c r="AP17" s="117"/>
      <c r="AQ17" s="117"/>
      <c r="AR17" s="117"/>
    </row>
    <row r="18" spans="1:44" s="11" customFormat="1" ht="46.5" customHeight="1" x14ac:dyDescent="0.25">
      <c r="A18" s="99"/>
      <c r="B18" s="93"/>
      <c r="C18" s="96"/>
      <c r="D18" s="28" t="s">
        <v>74</v>
      </c>
      <c r="E18" s="28"/>
      <c r="F18" s="81"/>
      <c r="G18" s="31" t="s">
        <v>235</v>
      </c>
      <c r="H18" s="102"/>
      <c r="I18" s="103"/>
      <c r="J18" s="104"/>
      <c r="K18" s="105"/>
      <c r="L18" s="93"/>
      <c r="M18" s="109"/>
      <c r="N18" s="95"/>
      <c r="O18" s="98"/>
      <c r="P18" s="93"/>
      <c r="Q18" s="99"/>
      <c r="R18" s="99"/>
      <c r="S18" s="89"/>
      <c r="T18" s="89"/>
      <c r="U18" s="89"/>
      <c r="V18" s="89"/>
      <c r="W18" s="89"/>
      <c r="X18" s="89"/>
      <c r="Y18" s="89"/>
      <c r="Z18" s="89"/>
      <c r="AA18" s="89"/>
      <c r="AB18" s="89"/>
      <c r="AC18" s="89"/>
      <c r="AD18" s="89"/>
      <c r="AE18" s="89"/>
      <c r="AF18" s="89"/>
      <c r="AG18" s="93"/>
      <c r="AH18" s="93"/>
      <c r="AI18" s="105"/>
      <c r="AJ18" s="93"/>
      <c r="AK18" s="94"/>
      <c r="AL18" s="95"/>
      <c r="AM18" s="89"/>
      <c r="AN18" s="117"/>
      <c r="AO18" s="117"/>
      <c r="AP18" s="117"/>
      <c r="AQ18" s="117"/>
      <c r="AR18" s="117"/>
    </row>
    <row r="19" spans="1:44" s="11" customFormat="1" ht="50.25" customHeight="1" x14ac:dyDescent="0.25">
      <c r="A19" s="99"/>
      <c r="B19" s="93"/>
      <c r="C19" s="84"/>
      <c r="D19" s="28" t="s">
        <v>74</v>
      </c>
      <c r="E19" s="28"/>
      <c r="F19" s="82"/>
      <c r="G19" s="30" t="s">
        <v>85</v>
      </c>
      <c r="H19" s="102"/>
      <c r="I19" s="103"/>
      <c r="J19" s="104"/>
      <c r="K19" s="105"/>
      <c r="L19" s="93"/>
      <c r="M19" s="109"/>
      <c r="N19" s="95"/>
      <c r="O19" s="98"/>
      <c r="P19" s="93"/>
      <c r="Q19" s="99"/>
      <c r="R19" s="99"/>
      <c r="S19" s="89"/>
      <c r="T19" s="89"/>
      <c r="U19" s="89"/>
      <c r="V19" s="89"/>
      <c r="W19" s="89"/>
      <c r="X19" s="89"/>
      <c r="Y19" s="89"/>
      <c r="Z19" s="89"/>
      <c r="AA19" s="89"/>
      <c r="AB19" s="89"/>
      <c r="AC19" s="89"/>
      <c r="AD19" s="89"/>
      <c r="AE19" s="89"/>
      <c r="AF19" s="89"/>
      <c r="AG19" s="93"/>
      <c r="AH19" s="93"/>
      <c r="AI19" s="105"/>
      <c r="AJ19" s="93"/>
      <c r="AK19" s="94"/>
      <c r="AL19" s="95"/>
      <c r="AM19" s="89"/>
      <c r="AN19" s="117"/>
      <c r="AO19" s="117"/>
      <c r="AP19" s="117"/>
      <c r="AQ19" s="117"/>
      <c r="AR19" s="117"/>
    </row>
    <row r="20" spans="1:44" s="1" customFormat="1" ht="107.25" customHeight="1" x14ac:dyDescent="0.25">
      <c r="A20" s="28" t="s">
        <v>205</v>
      </c>
      <c r="B20" s="39">
        <v>6</v>
      </c>
      <c r="C20" s="23" t="s">
        <v>42</v>
      </c>
      <c r="D20" s="28" t="s">
        <v>43</v>
      </c>
      <c r="E20" s="28"/>
      <c r="F20" s="28" t="s">
        <v>42</v>
      </c>
      <c r="G20" s="40" t="s">
        <v>96</v>
      </c>
      <c r="H20" s="41" t="s">
        <v>97</v>
      </c>
      <c r="I20" s="42" t="s">
        <v>237</v>
      </c>
      <c r="J20" s="4" t="s">
        <v>47</v>
      </c>
      <c r="K20" s="71">
        <v>3</v>
      </c>
      <c r="L20" s="72">
        <v>4</v>
      </c>
      <c r="M20" s="6">
        <f>K20*L20</f>
        <v>12</v>
      </c>
      <c r="N20" s="7" t="str">
        <f>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EXTREMO</v>
      </c>
      <c r="O20" s="55" t="s">
        <v>238</v>
      </c>
      <c r="P20" s="26" t="s">
        <v>98</v>
      </c>
      <c r="Q20" s="28" t="s">
        <v>78</v>
      </c>
      <c r="R20" s="28" t="s">
        <v>78</v>
      </c>
      <c r="S20" s="8" t="s">
        <v>50</v>
      </c>
      <c r="T20" s="29">
        <f>IF(S20="Asignado",[6]Listas!$C$30,[6]Listas!$C$31)</f>
        <v>15</v>
      </c>
      <c r="U20" s="8" t="s">
        <v>51</v>
      </c>
      <c r="V20" s="29">
        <f>IF(U20="Adecuado",[6]Listas!$C$32,[6]Listas!$C$33)</f>
        <v>15</v>
      </c>
      <c r="W20" s="8" t="s">
        <v>99</v>
      </c>
      <c r="X20" s="29">
        <f>IF(W20="Oportuna",[6]Listas!$C$34,[6]Listas!$C$35)</f>
        <v>0</v>
      </c>
      <c r="Y20" s="8" t="s">
        <v>100</v>
      </c>
      <c r="Z20" s="29">
        <f>IF(Y20="Prevenir",[6]Listas!$C$36,IF(Y20="Detectar",[6]Listas!$C$37,[6]Listas!$C$38))</f>
        <v>0</v>
      </c>
      <c r="AA20" s="8" t="s">
        <v>101</v>
      </c>
      <c r="AB20" s="29">
        <f>IF(AA20="Confiable",[6]Listas!$C$39,[6]Listas!$C$40)</f>
        <v>0</v>
      </c>
      <c r="AC20" s="8" t="s">
        <v>102</v>
      </c>
      <c r="AD20" s="29">
        <f>IF(AC20="Se investigan y resuelven oportunamente",[6]Listas!$C$41,[6]Listas!$C$42)</f>
        <v>0</v>
      </c>
      <c r="AE20" s="8" t="s">
        <v>103</v>
      </c>
      <c r="AF20" s="29">
        <f>IF(AE20="Completa",[6]Listas!$C$43,IF(AE20="Incompleta",[6]Listas!$C$44,[6]Listas!$C$45))</f>
        <v>5</v>
      </c>
      <c r="AG20" s="26">
        <f>T20+V20+X20+Z20+AB20+AD20+AF20</f>
        <v>35</v>
      </c>
      <c r="AH20" s="3">
        <f>AVERAGE(AG20:AG20)</f>
        <v>35</v>
      </c>
      <c r="AI20" s="5">
        <v>3</v>
      </c>
      <c r="AJ20" s="3">
        <v>4</v>
      </c>
      <c r="AK20" s="6">
        <f>AI20*AJ20</f>
        <v>12</v>
      </c>
      <c r="AL20" s="9" t="str">
        <f>IF(AND(AI20=1,AJ20=1),"BAJO",IF(AND(AI20=1,AJ20=2),"BAJO",IF(AND(AI20=2,AJ20=1),"BAJO",IF(AND(AI20=2,AJ20=2),"BAJO",IF(AND(AI20=3,AJ20=1),"BAJO",IF(AND(AI20=1,AJ20=3),"MODERADO",IF(AND(AI20=2,AJ20=3),"MODERADO",IF(AND(AI20=3,AJ20=2),"MODERADO",IF(AND(AI20=4,AJ20=1),"MODERADO",IF(AND(AI20=5,AJ20=1),"ALTO",IF(AND(AI20=4,AJ20=2),"ALTO",IF(AND(AI20=3,AJ20=3),"ALTO",IF(AND(AI20=2,AJ20=4),"ALTO",IF(AND(AI20=1,AJ20=4),"ALTO",IF(AND(AI20=5,AJ20=2),"ALTO",IF(AND(AI20=4,AJ20=3),"ALTO","EXTREMO"))))))))))))))))</f>
        <v>EXTREMO</v>
      </c>
      <c r="AM20" s="29" t="s">
        <v>57</v>
      </c>
      <c r="AN20" s="64" t="s">
        <v>239</v>
      </c>
      <c r="AO20" s="64" t="s">
        <v>104</v>
      </c>
      <c r="AP20" s="64" t="s">
        <v>105</v>
      </c>
      <c r="AQ20" s="65" t="s">
        <v>106</v>
      </c>
      <c r="AR20" s="64" t="s">
        <v>107</v>
      </c>
    </row>
    <row r="21" spans="1:44" s="19" customFormat="1" ht="159.75" customHeight="1" x14ac:dyDescent="0.25">
      <c r="A21" s="97" t="s">
        <v>206</v>
      </c>
      <c r="B21" s="22">
        <v>7</v>
      </c>
      <c r="C21" s="22" t="s">
        <v>42</v>
      </c>
      <c r="D21" s="25" t="s">
        <v>74</v>
      </c>
      <c r="E21" s="25"/>
      <c r="F21" s="22" t="s">
        <v>42</v>
      </c>
      <c r="G21" s="43" t="s">
        <v>108</v>
      </c>
      <c r="H21" s="43" t="s">
        <v>210</v>
      </c>
      <c r="I21" s="43" t="s">
        <v>211</v>
      </c>
      <c r="J21" s="4" t="s">
        <v>47</v>
      </c>
      <c r="K21" s="71">
        <v>3</v>
      </c>
      <c r="L21" s="71">
        <v>4</v>
      </c>
      <c r="M21" s="6">
        <f>K21*L21</f>
        <v>12</v>
      </c>
      <c r="N21" s="7" t="str">
        <f>IF(AND(K21=1,L21=1),"BAJO",IF(AND(K21=1,L21=2),"BAJO",IF(AND(K21=2,L21=1),"BAJO",IF(AND(K21=2,L21=2),"BAJO",IF(AND(K21=3,L21=1),"BAJO",IF(AND(K21=1,L21=3),"MODERADO",IF(AND(K21=2,L21=3),"MODERADO",IF(AND(K21=3,L21=2),"MODERADO",IF(AND(K21=4,L21=1),"MODERADO",IF(AND(K21=5,L21=1),"ALTO",IF(AND(K21=4,L21=2),"ALTO",IF(AND(K21=3,L21=3),"ALTO",IF(AND(K21=2,L21=4),"ALTO",IF(AND(K21=1,L21=4),"ALTO",IF(AND(K21=5,L21=2),"ALTO",IF(AND(K21=4,L21=3),"ALTO","EXTREMO"))))))))))))))))</f>
        <v>EXTREMO</v>
      </c>
      <c r="O21" s="56" t="s">
        <v>212</v>
      </c>
      <c r="P21" s="22" t="s">
        <v>48</v>
      </c>
      <c r="Q21" s="25" t="s">
        <v>49</v>
      </c>
      <c r="R21" s="25" t="s">
        <v>49</v>
      </c>
      <c r="S21" s="4" t="s">
        <v>50</v>
      </c>
      <c r="T21" s="25">
        <v>15</v>
      </c>
      <c r="U21" s="4" t="s">
        <v>51</v>
      </c>
      <c r="V21" s="25">
        <v>15</v>
      </c>
      <c r="W21" s="4" t="s">
        <v>52</v>
      </c>
      <c r="X21" s="25">
        <v>15</v>
      </c>
      <c r="Y21" s="4" t="s">
        <v>53</v>
      </c>
      <c r="Z21" s="25">
        <f>IF(Y21="Prevenir",[7]Listas!$C$36,IF(Y21="Detectar",[7]Listas!$C$37,[7]Listas!$C$38))</f>
        <v>15</v>
      </c>
      <c r="AA21" s="4" t="s">
        <v>54</v>
      </c>
      <c r="AB21" s="25">
        <f>IF(AA21="Confiable",[7]Listas!$C$39,[7]Listas!$C$40)</f>
        <v>15</v>
      </c>
      <c r="AC21" s="4" t="s">
        <v>55</v>
      </c>
      <c r="AD21" s="25">
        <f>IF(AC21="Se investigan y resuelven oportunamente",[7]Listas!$C$41,[7]Listas!$C$42)</f>
        <v>15</v>
      </c>
      <c r="AE21" s="4" t="s">
        <v>136</v>
      </c>
      <c r="AF21" s="25">
        <f>IF(AE21="Completa",[7]Listas!$C$43,IF(AE21="Incompleta",[7]Listas!$C$44,[7]Listas!$C$45))</f>
        <v>0</v>
      </c>
      <c r="AG21" s="22">
        <f>T21+V21+X21+Z21+AB21+AD21+AF21</f>
        <v>90</v>
      </c>
      <c r="AH21" s="5">
        <f>AVERAGE(AG21:AG21)</f>
        <v>90</v>
      </c>
      <c r="AI21" s="5">
        <v>2</v>
      </c>
      <c r="AJ21" s="61">
        <v>3</v>
      </c>
      <c r="AK21" s="6">
        <f>AI21*AJ21</f>
        <v>6</v>
      </c>
      <c r="AL21" s="9" t="str">
        <f>IF(AND(AI21=1,AJ21=1),"BAJO",IF(AND(AI21=1,AJ21=2),"BAJO",IF(AND(AI21=2,AJ21=1),"BAJO",IF(AND(AI21=2,AJ21=2),"BAJO",IF(AND(AI21=3,AJ21=1),"BAJO",IF(AND(AI21=1,AJ21=3),"MODERADO",IF(AND(AI21=2,AJ21=3),"MODERADO",IF(AND(AI21=3,AJ21=2),"MODERADO",IF(AND(AI21=4,AJ21=1),"MODERADO",IF(AND(AI21=5,AJ21=1),"ALTO",IF(AND(AI21=4,AJ21=2),"ALTO",IF(AND(AI21=3,AJ21=3),"ALTO",IF(AND(AI21=2,AJ21=4),"ALTO",IF(AND(AI21=1,AJ21=4),"ALTO",IF(AND(AI21=5,AJ21=2),"ALTO",IF(AND(AI21=4,AJ21=3),"ALTO","EXTREMO"))))))))))))))))</f>
        <v>MODERADO</v>
      </c>
      <c r="AM21" s="25" t="s">
        <v>57</v>
      </c>
      <c r="AN21" s="66" t="s">
        <v>213</v>
      </c>
      <c r="AO21" s="66" t="s">
        <v>214</v>
      </c>
      <c r="AP21" s="66" t="s">
        <v>215</v>
      </c>
      <c r="AQ21" s="67" t="s">
        <v>216</v>
      </c>
      <c r="AR21" s="66" t="s">
        <v>217</v>
      </c>
    </row>
    <row r="22" spans="1:44" ht="134.25" customHeight="1" x14ac:dyDescent="0.25">
      <c r="A22" s="97"/>
      <c r="B22" s="39">
        <v>8</v>
      </c>
      <c r="C22" s="39" t="s">
        <v>42</v>
      </c>
      <c r="D22" s="44" t="s">
        <v>43</v>
      </c>
      <c r="E22" s="44"/>
      <c r="F22" s="44" t="s">
        <v>42</v>
      </c>
      <c r="G22" s="45" t="s">
        <v>108</v>
      </c>
      <c r="H22" s="46" t="s">
        <v>218</v>
      </c>
      <c r="I22" s="47" t="s">
        <v>109</v>
      </c>
      <c r="J22" s="48" t="s">
        <v>47</v>
      </c>
      <c r="K22" s="140">
        <v>3</v>
      </c>
      <c r="L22" s="73">
        <v>5</v>
      </c>
      <c r="M22" s="51">
        <f t="shared" ref="M22" si="9">K22*L22</f>
        <v>15</v>
      </c>
      <c r="N22" s="52" t="str">
        <f t="shared" ref="N22" si="10">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EXTREMO</v>
      </c>
      <c r="O22" s="13" t="s">
        <v>110</v>
      </c>
      <c r="P22" s="39" t="s">
        <v>48</v>
      </c>
      <c r="Q22" s="44" t="s">
        <v>49</v>
      </c>
      <c r="R22" s="44" t="s">
        <v>49</v>
      </c>
      <c r="S22" s="62" t="s">
        <v>50</v>
      </c>
      <c r="T22" s="36">
        <f>IF(S22="Asignado",[8]Listas!$C$30,[8]Listas!$C$31)</f>
        <v>15</v>
      </c>
      <c r="U22" s="62" t="s">
        <v>51</v>
      </c>
      <c r="V22" s="36">
        <f>IF(U22="Adecuado",[8]Listas!$C$32,[8]Listas!$C$33)</f>
        <v>15</v>
      </c>
      <c r="W22" s="62" t="s">
        <v>52</v>
      </c>
      <c r="X22" s="36">
        <f>IF(W22="Oportuna",[8]Listas!$C$34,[8]Listas!$C$35)</f>
        <v>15</v>
      </c>
      <c r="Y22" s="62" t="s">
        <v>53</v>
      </c>
      <c r="Z22" s="36">
        <f>IF(Y22="Prevenir",[8]Listas!$C$36,IF(Y22="Detectar",[8]Listas!$C$37,[8]Listas!$C$38))</f>
        <v>15</v>
      </c>
      <c r="AA22" s="62" t="s">
        <v>54</v>
      </c>
      <c r="AB22" s="36">
        <f>IF(AA22="Confiable",[8]Listas!$C$39,[8]Listas!$C$40)</f>
        <v>15</v>
      </c>
      <c r="AC22" s="62" t="s">
        <v>55</v>
      </c>
      <c r="AD22" s="36">
        <f>IF(AC22="Se investigan y resuelven oportunamente",[8]Listas!$C$41,[8]Listas!$C$42)</f>
        <v>15</v>
      </c>
      <c r="AE22" s="62" t="s">
        <v>56</v>
      </c>
      <c r="AF22" s="36">
        <f>IF(AE22="Completa",[8]Listas!$C$43,IF(AE22="Incompleta",[8]Listas!$C$44,[8]Listas!$C$45))</f>
        <v>10</v>
      </c>
      <c r="AG22" s="39">
        <f t="shared" ref="AG22" si="11">T22+V22+X22+Z22+AB22+AD22+AF22</f>
        <v>100</v>
      </c>
      <c r="AH22" s="50">
        <f>AVERAGE(AG22:AG22)</f>
        <v>100</v>
      </c>
      <c r="AI22" s="49">
        <v>1</v>
      </c>
      <c r="AJ22" s="61">
        <v>3</v>
      </c>
      <c r="AK22" s="51">
        <f>AI22*AJ22</f>
        <v>3</v>
      </c>
      <c r="AL22" s="63" t="str">
        <f>IF(AND(AI22=1,AJ22=1),"BAJO",IF(AND(AI22=1,AJ22=2),"BAJO",IF(AND(AI22=2,AJ22=1),"BAJO",IF(AND(AI22=2,AJ22=2),"BAJO",IF(AND(AI22=3,AJ22=1),"BAJO",IF(AND(AI22=1,AJ22=3),"MODERADO",IF(AND(AI22=2,AJ22=3),"MODERADO",IF(AND(AI22=3,AJ22=2),"MODERADO",IF(AND(AI22=4,AJ22=1),"MODERADO",IF(AND(AI22=5,AJ22=1),"ALTO",IF(AND(AI22=4,AJ22=2),"ALTO",IF(AND(AI22=3,AJ22=3),"ALTO",IF(AND(AI22=2,AJ22=4),"ALTO",IF(AND(AI22=1,AJ22=4),"ALTO",IF(AND(AI22=5,AJ22=2),"ALTO",IF(AND(AI22=4,AJ22=3),"ALTO","EXTREMO"))))))))))))))))</f>
        <v>MODERADO</v>
      </c>
      <c r="AM22" s="36" t="s">
        <v>57</v>
      </c>
      <c r="AN22" s="68" t="s">
        <v>111</v>
      </c>
      <c r="AO22" s="68" t="s">
        <v>112</v>
      </c>
      <c r="AP22" s="68" t="s">
        <v>113</v>
      </c>
      <c r="AQ22" s="69" t="s">
        <v>114</v>
      </c>
      <c r="AR22" s="68" t="s">
        <v>115</v>
      </c>
    </row>
    <row r="23" spans="1:44" s="11" customFormat="1" ht="112.5" customHeight="1" x14ac:dyDescent="0.25">
      <c r="A23" s="26" t="s">
        <v>207</v>
      </c>
      <c r="B23" s="39">
        <v>9</v>
      </c>
      <c r="C23" s="12"/>
      <c r="D23" s="28"/>
      <c r="E23" s="31"/>
      <c r="F23" s="28" t="s">
        <v>42</v>
      </c>
      <c r="G23" s="14" t="s">
        <v>116</v>
      </c>
      <c r="H23" s="14" t="s">
        <v>117</v>
      </c>
      <c r="I23" s="15" t="s">
        <v>118</v>
      </c>
      <c r="J23" s="16" t="s">
        <v>47</v>
      </c>
      <c r="K23" s="71">
        <v>2</v>
      </c>
      <c r="L23" s="72">
        <v>4</v>
      </c>
      <c r="M23" s="6">
        <f>K23*L23</f>
        <v>8</v>
      </c>
      <c r="N23" s="7" t="str">
        <f>IF(AND(K23=1,L23=1),"BAJO",IF(AND(K23=1,L23=2),"BAJO",IF(AND(K23=2,L23=1),"BAJO",IF(AND(K23=2,L23=2),"BAJO",IF(AND(K23=3,L23=1),"BAJO",IF(AND(K23=1,L23=3),"MODERADO",IF(AND(K23=2,L23=3),"MODERADO",IF(AND(K23=3,L23=2),"MODERADO",IF(AND(K23=4,L23=1),"MODERADO",IF(AND(K23=5,L23=1),"ALTO",IF(AND(K23=4,L23=2),"ALTO",IF(AND(K23=3,L23=3),"ALTO",IF(AND(K23=2,L23=4),"ALTO",IF(AND(K23=1,L23=4),"ALTO",IF(AND(K23=5,L23=2),"ALTO",IF(AND(K23=4,L23=3),"ALTO","EXTREMO"))))))))))))))))</f>
        <v>ALTO</v>
      </c>
      <c r="O23" s="57" t="s">
        <v>119</v>
      </c>
      <c r="P23" s="26" t="s">
        <v>48</v>
      </c>
      <c r="Q23" s="28" t="s">
        <v>49</v>
      </c>
      <c r="R23" s="28" t="s">
        <v>49</v>
      </c>
      <c r="S23" s="8" t="s">
        <v>50</v>
      </c>
      <c r="T23" s="29">
        <f>IF(S23="Asignado",[9]Listas!$C$30,[9]Listas!$C$31)</f>
        <v>15</v>
      </c>
      <c r="U23" s="8" t="s">
        <v>51</v>
      </c>
      <c r="V23" s="29">
        <f>IF(U23="Adecuado",[9]Listas!$C$32,[9]Listas!$C$33)</f>
        <v>15</v>
      </c>
      <c r="W23" s="8" t="s">
        <v>52</v>
      </c>
      <c r="X23" s="29">
        <f>IF(W23="Oportuna",[9]Listas!$C$34,[9]Listas!$C$35)</f>
        <v>15</v>
      </c>
      <c r="Y23" s="8" t="s">
        <v>53</v>
      </c>
      <c r="Z23" s="29">
        <f>IF(Y23="Prevenir",[9]Listas!$C$36,IF(Y23="Detectar",[9]Listas!$C$37,[9]Listas!$C$38))</f>
        <v>15</v>
      </c>
      <c r="AA23" s="8" t="s">
        <v>54</v>
      </c>
      <c r="AB23" s="29">
        <f>IF(AA23="Confiable",[9]Listas!$C$39,[9]Listas!$C$40)</f>
        <v>15</v>
      </c>
      <c r="AC23" s="8" t="s">
        <v>55</v>
      </c>
      <c r="AD23" s="29">
        <f>IF(AC23="Se investigan y resuelven oportunamente",[9]Listas!$C$41,[9]Listas!$C$42)</f>
        <v>15</v>
      </c>
      <c r="AE23" s="8" t="s">
        <v>56</v>
      </c>
      <c r="AF23" s="29">
        <f>IF(AE23="Completa",[9]Listas!$C$43,IF(AE23="Incompleta",[9]Listas!$C$44,[9]Listas!$C$45))</f>
        <v>10</v>
      </c>
      <c r="AG23" s="26">
        <f>T23+V23+X23+Z23+AB23+AD23+AF23</f>
        <v>100</v>
      </c>
      <c r="AH23" s="26">
        <f>AVERAGE(AG23:AG23)</f>
        <v>100</v>
      </c>
      <c r="AI23" s="22">
        <v>1</v>
      </c>
      <c r="AJ23" s="61">
        <v>4</v>
      </c>
      <c r="AK23" s="6">
        <f>AI23*AJ23</f>
        <v>4</v>
      </c>
      <c r="AL23" s="10" t="str">
        <f>IF(AND(AI23=1,AJ23=1),"BAJO",IF(AND(AI23=1,AJ23=2),"BAJO",IF(AND(AI23=2,AJ23=1),"BAJO",IF(AND(AI23=2,AJ23=2),"BAJO",IF(AND(AI23=3,AJ23=1),"BAJO",IF(AND(AI23=1,AJ23=3),"MODERADO",IF(AND(AI23=2,AJ23=3),"MODERADO",IF(AND(AI23=3,AJ23=2),"MODERADO",IF(AND(AI23=4,AJ23=1),"MODERADO",IF(AND(AI23=5,AJ23=1),"ALTO",IF(AND(AI23=4,AJ23=2),"ALTO",IF(AND(AI23=3,AJ23=3),"ALTO",IF(AND(AI23=2,AJ23=4),"ALTO",IF(AND(AI23=1,AJ23=4),"ALTO",IF(AND(AI23=5,AJ23=2),"ALTO",IF(AND(AI23=4,AJ23=3),"ALTO","EXTREMO"))))))))))))))))</f>
        <v>ALTO</v>
      </c>
      <c r="AM23" s="29" t="s">
        <v>57</v>
      </c>
      <c r="AN23" s="64" t="s">
        <v>120</v>
      </c>
      <c r="AO23" s="64" t="s">
        <v>121</v>
      </c>
      <c r="AP23" s="64" t="s">
        <v>122</v>
      </c>
      <c r="AQ23" s="65" t="s">
        <v>123</v>
      </c>
      <c r="AR23" s="64" t="s">
        <v>124</v>
      </c>
    </row>
    <row r="24" spans="1:44" s="11" customFormat="1" ht="112.5" customHeight="1" x14ac:dyDescent="0.25">
      <c r="A24" s="80" t="s">
        <v>225</v>
      </c>
      <c r="B24" s="88">
        <v>10</v>
      </c>
      <c r="C24" s="83" t="s">
        <v>42</v>
      </c>
      <c r="D24" s="28" t="s">
        <v>43</v>
      </c>
      <c r="E24" s="28"/>
      <c r="F24" s="80" t="s">
        <v>42</v>
      </c>
      <c r="G24" s="53" t="s">
        <v>125</v>
      </c>
      <c r="H24" s="124" t="s">
        <v>126</v>
      </c>
      <c r="I24" s="124" t="s">
        <v>127</v>
      </c>
      <c r="J24" s="120" t="s">
        <v>47</v>
      </c>
      <c r="K24" s="105">
        <v>3</v>
      </c>
      <c r="L24" s="93">
        <v>5</v>
      </c>
      <c r="M24" s="109">
        <f>K24*L24</f>
        <v>15</v>
      </c>
      <c r="N24" s="95" t="str">
        <f>IF(AND(K24=1,L24=1),"BAJO",IF(AND(K24=1,L24=2),"BAJO",IF(AND(K24=2,L24=1),"BAJO",IF(AND(K24=2,L24=2),"BAJO",IF(AND(K24=3,L24=1),"BAJO",IF(AND(K24=1,L24=3),"MODERADO",IF(AND(K24=2,L24=3),"MODERADO",IF(AND(K24=3,L24=2),"MODERADO",IF(AND(K24=4,L24=1),"MODERADO",IF(AND(K24=5,L24=1),"ALTO",IF(AND(K24=4,L24=2),"ALTO",IF(AND(K24=3,L24=3),"ALTO",IF(AND(K24=2,L24=4),"ALTO",IF(AND(K24=1,L24=4),"ALTO",IF(AND(K24=5,L24=2),"ALTO",IF(AND(K24=4,L24=3),"ALTO","EXTREMO"))))))))))))))))</f>
        <v>EXTREMO</v>
      </c>
      <c r="O24" s="60" t="s">
        <v>128</v>
      </c>
      <c r="P24" s="26" t="s">
        <v>48</v>
      </c>
      <c r="Q24" s="28" t="s">
        <v>49</v>
      </c>
      <c r="R24" s="28" t="s">
        <v>90</v>
      </c>
      <c r="S24" s="8" t="s">
        <v>50</v>
      </c>
      <c r="T24" s="29">
        <f>IF(S24="Asignado",[10]Listas!$C$30,[10]Listas!$C$31)</f>
        <v>15</v>
      </c>
      <c r="U24" s="8" t="s">
        <v>51</v>
      </c>
      <c r="V24" s="29">
        <f>IF(U24="Adecuado",[10]Listas!$C$32,[10]Listas!$C$33)</f>
        <v>15</v>
      </c>
      <c r="W24" s="8" t="s">
        <v>52</v>
      </c>
      <c r="X24" s="29">
        <f>IF(W24="Oportuna",[10]Listas!$C$34,[10]Listas!$C$35)</f>
        <v>15</v>
      </c>
      <c r="Y24" s="8" t="s">
        <v>100</v>
      </c>
      <c r="Z24" s="29">
        <f>IF(Y24="Prevenir",[10]Listas!$C$36,IF(Y24="Detectar",[10]Listas!$C$37,[10]Listas!$C$38))</f>
        <v>0</v>
      </c>
      <c r="AA24" s="8" t="s">
        <v>54</v>
      </c>
      <c r="AB24" s="29">
        <f>IF(AA24="Confiable",[10]Listas!$C$39,[10]Listas!$C$40)</f>
        <v>15</v>
      </c>
      <c r="AC24" s="8" t="s">
        <v>102</v>
      </c>
      <c r="AD24" s="29">
        <f>IF(AC24="Se investigan y resuelven oportunamente",[10]Listas!$C$41,[10]Listas!$C$42)</f>
        <v>0</v>
      </c>
      <c r="AE24" s="8" t="s">
        <v>103</v>
      </c>
      <c r="AF24" s="29">
        <f>IF(AE24="Completa",[10]Listas!$C$43,IF(AE24="Incompleta",[10]Listas!$C$44,[10]Listas!$C$45))</f>
        <v>5</v>
      </c>
      <c r="AG24" s="26">
        <f>T24+V24+X24+Z24+AB24+AD24+AF24</f>
        <v>65</v>
      </c>
      <c r="AH24" s="93">
        <v>63</v>
      </c>
      <c r="AI24" s="105">
        <v>3</v>
      </c>
      <c r="AJ24" s="93">
        <v>5</v>
      </c>
      <c r="AK24" s="94">
        <f>AI24*AJ24</f>
        <v>15</v>
      </c>
      <c r="AL24" s="128" t="str">
        <f>IF(AND(AI24=1,AJ24=1),"BAJO",IF(AND(AI24=1,AJ24=2),"BAJO",IF(AND(AI24=2,AJ24=1),"BAJO",IF(AND(AI24=2,AJ24=2),"BAJO",IF(AND(AI24=3,AJ24=1),"BAJO",IF(AND(AI24=1,AJ24=3),"MODERADO",IF(AND(AI24=2,AJ24=3),"MODERADO",IF(AND(AI24=3,AJ24=2),"MODERADO",IF(AND(AI24=4,AJ24=1),"MODERADO",IF(AND(AI24=5,AJ24=1),"ALTO",IF(AND(AI24=4,AJ24=2),"ALTO",IF(AND(AI24=3,AJ24=3),"ALTO",IF(AND(AI24=2,AJ24=4),"ALTO",IF(AND(AI24=1,AJ24=4),"ALTO",IF(AND(AI24=5,AJ24=2),"ALTO",IF(AND(AI24=4,AJ24=3),"ALTO","EXTREMO"))))))))))))))))</f>
        <v>EXTREMO</v>
      </c>
      <c r="AM24" s="89" t="s">
        <v>57</v>
      </c>
      <c r="AN24" s="117" t="s">
        <v>129</v>
      </c>
      <c r="AO24" s="117" t="s">
        <v>130</v>
      </c>
      <c r="AP24" s="117" t="s">
        <v>131</v>
      </c>
      <c r="AQ24" s="125" t="s">
        <v>132</v>
      </c>
      <c r="AR24" s="117" t="s">
        <v>133</v>
      </c>
    </row>
    <row r="25" spans="1:44" s="1" customFormat="1" ht="97.5" customHeight="1" x14ac:dyDescent="0.25">
      <c r="A25" s="81"/>
      <c r="B25" s="88"/>
      <c r="C25" s="84"/>
      <c r="D25" s="28" t="s">
        <v>43</v>
      </c>
      <c r="E25" s="28"/>
      <c r="F25" s="82"/>
      <c r="G25" s="53" t="s">
        <v>134</v>
      </c>
      <c r="H25" s="124"/>
      <c r="I25" s="124"/>
      <c r="J25" s="120"/>
      <c r="K25" s="105"/>
      <c r="L25" s="93"/>
      <c r="M25" s="109"/>
      <c r="N25" s="95"/>
      <c r="O25" s="57" t="s">
        <v>135</v>
      </c>
      <c r="P25" s="26" t="s">
        <v>48</v>
      </c>
      <c r="Q25" s="28" t="s">
        <v>49</v>
      </c>
      <c r="R25" s="28" t="s">
        <v>49</v>
      </c>
      <c r="S25" s="8" t="s">
        <v>50</v>
      </c>
      <c r="T25" s="29">
        <f>IF(S25="Asignado",[10]Listas!$C$30,[10]Listas!$C$31)</f>
        <v>15</v>
      </c>
      <c r="U25" s="8" t="s">
        <v>51</v>
      </c>
      <c r="V25" s="29">
        <f>IF(U25="Adecuado",[10]Listas!$C$32,[10]Listas!$C$33)</f>
        <v>15</v>
      </c>
      <c r="W25" s="8" t="s">
        <v>52</v>
      </c>
      <c r="X25" s="29">
        <f>IF(W25="Oportuna",[10]Listas!$C$34,[10]Listas!$C$35)</f>
        <v>15</v>
      </c>
      <c r="Y25" s="8" t="s">
        <v>53</v>
      </c>
      <c r="Z25" s="29">
        <f>IF(Y25="Prevenir",[10]Listas!$C$36,IF(Y25="Detectar",[10]Listas!$C$37,[10]Listas!$C$38))</f>
        <v>15</v>
      </c>
      <c r="AA25" s="8" t="s">
        <v>101</v>
      </c>
      <c r="AB25" s="29">
        <f>IF(AA25="Confiable",[10]Listas!$C$39,[10]Listas!$C$40)</f>
        <v>0</v>
      </c>
      <c r="AC25" s="8" t="s">
        <v>102</v>
      </c>
      <c r="AD25" s="29">
        <f>IF(AC25="Se investigan y resuelven oportunamente",[10]Listas!$C$41,[10]Listas!$C$42)</f>
        <v>0</v>
      </c>
      <c r="AE25" s="8" t="s">
        <v>136</v>
      </c>
      <c r="AF25" s="29">
        <f>IF(AE25="Completa",[10]Listas!$C$43,IF(AE25="Incompleta",[10]Listas!$C$44,[10]Listas!$C$45))</f>
        <v>0</v>
      </c>
      <c r="AG25" s="26">
        <f>T25+V25+X25+Z25+AB25+AD25+AF25</f>
        <v>60</v>
      </c>
      <c r="AH25" s="93"/>
      <c r="AI25" s="105"/>
      <c r="AJ25" s="93"/>
      <c r="AK25" s="94"/>
      <c r="AL25" s="128"/>
      <c r="AM25" s="89"/>
      <c r="AN25" s="117"/>
      <c r="AO25" s="117"/>
      <c r="AP25" s="117"/>
      <c r="AQ25" s="125"/>
      <c r="AR25" s="117"/>
    </row>
    <row r="26" spans="1:44" s="1" customFormat="1" ht="84" customHeight="1" x14ac:dyDescent="0.25">
      <c r="A26" s="82"/>
      <c r="B26" s="39">
        <v>11</v>
      </c>
      <c r="C26" s="23" t="s">
        <v>42</v>
      </c>
      <c r="D26" s="28" t="s">
        <v>43</v>
      </c>
      <c r="E26" s="28"/>
      <c r="F26" s="28" t="s">
        <v>42</v>
      </c>
      <c r="G26" s="53" t="s">
        <v>134</v>
      </c>
      <c r="H26" s="53" t="s">
        <v>137</v>
      </c>
      <c r="I26" s="54" t="s">
        <v>127</v>
      </c>
      <c r="J26" s="4" t="s">
        <v>47</v>
      </c>
      <c r="K26" s="71">
        <v>3</v>
      </c>
      <c r="L26" s="72">
        <v>4</v>
      </c>
      <c r="M26" s="6">
        <f>K26*L26</f>
        <v>12</v>
      </c>
      <c r="N26" s="7" t="str">
        <f>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EXTREMO</v>
      </c>
      <c r="O26" s="55" t="s">
        <v>138</v>
      </c>
      <c r="P26" s="26" t="s">
        <v>48</v>
      </c>
      <c r="Q26" s="28" t="s">
        <v>49</v>
      </c>
      <c r="R26" s="28" t="s">
        <v>49</v>
      </c>
      <c r="S26" s="8" t="s">
        <v>50</v>
      </c>
      <c r="T26" s="29">
        <f>IF(S26="Asignado",[10]Listas!$C$30,[10]Listas!$C$31)</f>
        <v>15</v>
      </c>
      <c r="U26" s="8" t="s">
        <v>51</v>
      </c>
      <c r="V26" s="29">
        <f>IF(U26="Adecuado",[10]Listas!$C$32,[10]Listas!$C$33)</f>
        <v>15</v>
      </c>
      <c r="W26" s="8" t="s">
        <v>52</v>
      </c>
      <c r="X26" s="29">
        <f>IF(W26="Oportuna",[10]Listas!$C$34,[10]Listas!$C$35)</f>
        <v>15</v>
      </c>
      <c r="Y26" s="8" t="s">
        <v>53</v>
      </c>
      <c r="Z26" s="29">
        <f>IF(Y26="Prevenir",[10]Listas!$C$36,IF(Y26="Detectar",[10]Listas!$C$37,[10]Listas!$C$38))</f>
        <v>15</v>
      </c>
      <c r="AA26" s="8" t="s">
        <v>54</v>
      </c>
      <c r="AB26" s="29">
        <f>IF(AA26="Confiable",[10]Listas!$C$39,[10]Listas!$C$40)</f>
        <v>15</v>
      </c>
      <c r="AC26" s="8" t="s">
        <v>55</v>
      </c>
      <c r="AD26" s="29">
        <f>IF(AC26="Se investigan y resuelven oportunamente",[10]Listas!$C$41,[10]Listas!$C$42)</f>
        <v>15</v>
      </c>
      <c r="AE26" s="8" t="s">
        <v>56</v>
      </c>
      <c r="AF26" s="29">
        <f>IF(AE26="Completa",[10]Listas!$C$43,IF(AE26="Incompleta",[10]Listas!$C$44,[10]Listas!$C$45))</f>
        <v>10</v>
      </c>
      <c r="AG26" s="26">
        <f>T26+V26+X26+Z26+AB26+AD26+AF26</f>
        <v>100</v>
      </c>
      <c r="AH26" s="3">
        <f>AVERAGE(AG26:AG26)</f>
        <v>100</v>
      </c>
      <c r="AI26" s="3">
        <v>1</v>
      </c>
      <c r="AJ26" s="61">
        <v>3</v>
      </c>
      <c r="AK26" s="6">
        <f>AI26*AJ26</f>
        <v>3</v>
      </c>
      <c r="AL26" s="9" t="str">
        <f>IF(AND(AI26=1,AJ26=1),"BAJO",IF(AND(AI26=1,AJ26=2),"BAJO",IF(AND(AI26=2,AJ26=1),"BAJO",IF(AND(AI26=2,AJ26=2),"BAJO",IF(AND(AI26=3,AJ26=1),"BAJO",IF(AND(AI26=1,AJ26=3),"MODERADO",IF(AND(AI26=2,AJ26=3),"MODERADO",IF(AND(AI26=3,AJ26=2),"MODERADO",IF(AND(AI26=4,AJ26=1),"MODERADO",IF(AND(AI26=5,AJ26=1),"ALTO",IF(AND(AI26=4,AJ26=2),"ALTO",IF(AND(AI26=3,AJ26=3),"ALTO",IF(AND(AI26=2,AJ26=4),"ALTO",IF(AND(AI26=1,AJ26=4),"ALTO",IF(AND(AI26=5,AJ26=2),"ALTO",IF(AND(AI26=4,AJ26=3),"ALTO","EXTREMO"))))))))))))))))</f>
        <v>MODERADO</v>
      </c>
      <c r="AM26" s="29" t="s">
        <v>57</v>
      </c>
      <c r="AN26" s="64" t="s">
        <v>139</v>
      </c>
      <c r="AO26" s="64" t="s">
        <v>140</v>
      </c>
      <c r="AP26" s="64" t="s">
        <v>131</v>
      </c>
      <c r="AQ26" s="65" t="s">
        <v>132</v>
      </c>
      <c r="AR26" s="64" t="s">
        <v>141</v>
      </c>
    </row>
    <row r="27" spans="1:44" s="1" customFormat="1" ht="85.5" customHeight="1" x14ac:dyDescent="0.25">
      <c r="A27" s="99" t="s">
        <v>208</v>
      </c>
      <c r="B27" s="88">
        <v>12</v>
      </c>
      <c r="C27" s="126" t="s">
        <v>42</v>
      </c>
      <c r="D27" s="28" t="s">
        <v>142</v>
      </c>
      <c r="E27" s="28"/>
      <c r="F27" s="80" t="s">
        <v>42</v>
      </c>
      <c r="G27" s="31" t="s">
        <v>143</v>
      </c>
      <c r="H27" s="126" t="s">
        <v>144</v>
      </c>
      <c r="I27" s="127" t="s">
        <v>145</v>
      </c>
      <c r="J27" s="120" t="s">
        <v>47</v>
      </c>
      <c r="K27" s="105">
        <v>3</v>
      </c>
      <c r="L27" s="93">
        <v>5</v>
      </c>
      <c r="M27" s="94">
        <f>K27*L27</f>
        <v>15</v>
      </c>
      <c r="N27" s="95" t="str">
        <f>IF(AND(K27=1,L27=1),"BAJO",IF(AND(K27=1,L27=2),"BAJO",IF(AND(K27=2,L27=1),"BAJO",IF(AND(K27=2,L27=2),"BAJO",IF(AND(K27=3,L27=1),"BAJO",IF(AND(K27=1,L27=3),"MODERADO",IF(AND(K27=2,L27=3),"MODERADO",IF(AND(K27=3,L27=2),"MODERADO",IF(AND(K27=4,L27=1),"MODERADO",IF(AND(K27=5,L27=1),"ALTO",IF(AND(K27=4,L27=2),"ALTO",IF(AND(K27=3,L27=3),"ALTO",IF(AND(K27=2,L27=4),"ALTO",IF(AND(K27=1,L27=4),"ALTO",IF(AND(K27=5,L27=2),"ALTO",IF(AND(K27=4,L27=3),"ALTO","EXTREMO"))))))))))))))))</f>
        <v>EXTREMO</v>
      </c>
      <c r="O27" s="58" t="s">
        <v>146</v>
      </c>
      <c r="P27" s="26" t="s">
        <v>48</v>
      </c>
      <c r="Q27" s="28" t="s">
        <v>90</v>
      </c>
      <c r="R27" s="28" t="s">
        <v>49</v>
      </c>
      <c r="S27" s="8" t="s">
        <v>50</v>
      </c>
      <c r="T27" s="29">
        <f>IF(S27="Asignado",[11]Listas!$C$30,[11]Listas!$C$31)</f>
        <v>15</v>
      </c>
      <c r="U27" s="8" t="s">
        <v>51</v>
      </c>
      <c r="V27" s="29">
        <f>IF(U27="Adecuado",[11]Listas!$C$32,[11]Listas!$C$33)</f>
        <v>15</v>
      </c>
      <c r="W27" s="8" t="s">
        <v>52</v>
      </c>
      <c r="X27" s="29">
        <f>IF(W27="Oportuna",[11]Listas!$C$34,[11]Listas!$C$35)</f>
        <v>15</v>
      </c>
      <c r="Y27" s="8" t="s">
        <v>53</v>
      </c>
      <c r="Z27" s="29">
        <f>IF(Y27="Prevenir",[11]Listas!$C$36,IF(Y27="Detectar",[11]Listas!$C$37,[11]Listas!$C$38))</f>
        <v>15</v>
      </c>
      <c r="AA27" s="8" t="s">
        <v>54</v>
      </c>
      <c r="AB27" s="29">
        <f>IF(AA27="Confiable",[11]Listas!$C$39,[11]Listas!$C$40)</f>
        <v>15</v>
      </c>
      <c r="AC27" s="8" t="s">
        <v>55</v>
      </c>
      <c r="AD27" s="29">
        <f>IF(AC27="Se investigan y resuelven oportunamente",[11]Listas!$C$41,[11]Listas!$C$42)</f>
        <v>15</v>
      </c>
      <c r="AE27" s="8" t="s">
        <v>56</v>
      </c>
      <c r="AF27" s="29">
        <f>IF(AE27="Completa",[11]Listas!$C$43,IF(AE27="Incompleta",[11]Listas!$C$44,[11]Listas!$C$45))</f>
        <v>10</v>
      </c>
      <c r="AG27" s="26">
        <f t="shared" ref="AG27:AG28" si="12">T27+V27+X27+Z27+AB27+AD27+AF27</f>
        <v>100</v>
      </c>
      <c r="AH27" s="93">
        <f>AVERAGE(AG27:AG28)</f>
        <v>100</v>
      </c>
      <c r="AI27" s="105">
        <v>1</v>
      </c>
      <c r="AJ27" s="93">
        <v>3</v>
      </c>
      <c r="AK27" s="94">
        <f>AI27*AJ27</f>
        <v>3</v>
      </c>
      <c r="AL27" s="95" t="str">
        <f>IF(AND(AI27=1,AJ27=1),"BAJO",IF(AND(AI27=1,AJ27=2),"BAJO",IF(AND(AI27=2,AJ27=1),"BAJO",IF(AND(AI27=2,AJ27=2),"BAJO",IF(AND(AI27=3,AJ27=1),"BAJO",IF(AND(AI27=1,AJ27=3),"MODERADO",IF(AND(AI27=2,AJ27=3),"MODERADO",IF(AND(AI27=3,AJ27=2),"MODERADO",IF(AND(AI27=4,AJ27=1),"MODERADO",IF(AND(AI27=5,AJ27=1),"ALTO",IF(AND(AI27=4,AJ27=2),"ALTO",IF(AND(AI27=3,AJ27=3),"ALTO",IF(AND(AI27=2,AJ27=4),"ALTO",IF(AND(AI27=1,AJ27=4),"ALTO",IF(AND(AI27=5,AJ27=2),"ALTO",IF(AND(AI27=4,AJ27=3),"ALTO","EXTREMO"))))))))))))))))</f>
        <v>MODERADO</v>
      </c>
      <c r="AM27" s="89" t="s">
        <v>79</v>
      </c>
      <c r="AN27" s="117" t="s">
        <v>147</v>
      </c>
      <c r="AO27" s="117" t="s">
        <v>148</v>
      </c>
      <c r="AP27" s="117" t="s">
        <v>149</v>
      </c>
      <c r="AQ27" s="129" t="s">
        <v>123</v>
      </c>
      <c r="AR27" s="117" t="s">
        <v>150</v>
      </c>
    </row>
    <row r="28" spans="1:44" s="1" customFormat="1" ht="57" customHeight="1" x14ac:dyDescent="0.25">
      <c r="A28" s="99"/>
      <c r="B28" s="88"/>
      <c r="C28" s="126"/>
      <c r="D28" s="28" t="s">
        <v>43</v>
      </c>
      <c r="E28" s="28"/>
      <c r="F28" s="82"/>
      <c r="G28" s="31" t="s">
        <v>151</v>
      </c>
      <c r="H28" s="126"/>
      <c r="I28" s="127"/>
      <c r="J28" s="120"/>
      <c r="K28" s="105"/>
      <c r="L28" s="93"/>
      <c r="M28" s="94"/>
      <c r="N28" s="95"/>
      <c r="O28" s="58" t="s">
        <v>152</v>
      </c>
      <c r="P28" s="26" t="s">
        <v>48</v>
      </c>
      <c r="Q28" s="28" t="s">
        <v>49</v>
      </c>
      <c r="R28" s="28" t="s">
        <v>78</v>
      </c>
      <c r="S28" s="8" t="s">
        <v>50</v>
      </c>
      <c r="T28" s="29">
        <f>IF(S28="Asignado",[11]Listas!$C$30,[11]Listas!$C$31)</f>
        <v>15</v>
      </c>
      <c r="U28" s="8" t="s">
        <v>51</v>
      </c>
      <c r="V28" s="29">
        <f>IF(U28="Adecuado",[11]Listas!$C$32,[11]Listas!$C$33)</f>
        <v>15</v>
      </c>
      <c r="W28" s="8" t="s">
        <v>52</v>
      </c>
      <c r="X28" s="29">
        <f>IF(W28="Oportuna",[11]Listas!$C$34,[11]Listas!$C$35)</f>
        <v>15</v>
      </c>
      <c r="Y28" s="8" t="s">
        <v>53</v>
      </c>
      <c r="Z28" s="29">
        <f>IF(Y28="Prevenir",[11]Listas!$C$36,IF(Y28="Detectar",[11]Listas!$C$37,[11]Listas!$C$38))</f>
        <v>15</v>
      </c>
      <c r="AA28" s="8" t="s">
        <v>54</v>
      </c>
      <c r="AB28" s="29">
        <f>IF(AA28="Confiable",[11]Listas!$C$39,[11]Listas!$C$40)</f>
        <v>15</v>
      </c>
      <c r="AC28" s="8" t="s">
        <v>55</v>
      </c>
      <c r="AD28" s="29">
        <f>IF(AC28="Se investigan y resuelven oportunamente",[11]Listas!$C$41,[11]Listas!$C$42)</f>
        <v>15</v>
      </c>
      <c r="AE28" s="8" t="s">
        <v>56</v>
      </c>
      <c r="AF28" s="29">
        <f>IF(AE28="Completa",[11]Listas!$C$43,IF(AE28="Incompleta",[11]Listas!$C$44,[11]Listas!$C$45))</f>
        <v>10</v>
      </c>
      <c r="AG28" s="26">
        <f t="shared" si="12"/>
        <v>100</v>
      </c>
      <c r="AH28" s="93"/>
      <c r="AI28" s="105"/>
      <c r="AJ28" s="93"/>
      <c r="AK28" s="94"/>
      <c r="AL28" s="95"/>
      <c r="AM28" s="89"/>
      <c r="AN28" s="117"/>
      <c r="AO28" s="117"/>
      <c r="AP28" s="117"/>
      <c r="AQ28" s="130"/>
      <c r="AR28" s="117"/>
    </row>
    <row r="29" spans="1:44" s="1" customFormat="1" ht="89.25" customHeight="1" x14ac:dyDescent="0.25">
      <c r="A29" s="99"/>
      <c r="B29" s="88">
        <v>13</v>
      </c>
      <c r="C29" s="89" t="s">
        <v>42</v>
      </c>
      <c r="D29" s="28" t="s">
        <v>74</v>
      </c>
      <c r="E29" s="28"/>
      <c r="F29" s="80" t="s">
        <v>42</v>
      </c>
      <c r="G29" s="31" t="s">
        <v>153</v>
      </c>
      <c r="H29" s="89" t="s">
        <v>154</v>
      </c>
      <c r="I29" s="131" t="s">
        <v>155</v>
      </c>
      <c r="J29" s="120" t="s">
        <v>47</v>
      </c>
      <c r="K29" s="105">
        <v>3</v>
      </c>
      <c r="L29" s="93">
        <v>5</v>
      </c>
      <c r="M29" s="94">
        <f t="shared" ref="M29" si="13">K29*L29</f>
        <v>15</v>
      </c>
      <c r="N29" s="95" t="str">
        <f t="shared" ref="N29" si="14">IF(AND(K29=1,L29=1),"BAJO",IF(AND(K29=1,L29=2),"BAJO",IF(AND(K29=2,L29=1),"BAJO",IF(AND(K29=2,L29=2),"BAJO",IF(AND(K29=3,L29=1),"BAJO",IF(AND(K29=1,L29=3),"MODERADO",IF(AND(K29=2,L29=3),"MODERADO",IF(AND(K29=3,L29=2),"MODERADO",IF(AND(K29=4,L29=1),"MODERADO",IF(AND(K29=5,L29=1),"ALTO",IF(AND(K29=4,L29=2),"ALTO",IF(AND(K29=3,L29=3),"ALTO",IF(AND(K29=2,L29=4),"ALTO",IF(AND(K29=1,L29=4),"ALTO",IF(AND(K29=5,L29=2),"ALTO",IF(AND(K29=4,L29=3),"ALTO","EXTREMO"))))))))))))))))</f>
        <v>EXTREMO</v>
      </c>
      <c r="O29" s="132" t="s">
        <v>156</v>
      </c>
      <c r="P29" s="93" t="s">
        <v>48</v>
      </c>
      <c r="Q29" s="99" t="s">
        <v>49</v>
      </c>
      <c r="R29" s="99" t="s">
        <v>78</v>
      </c>
      <c r="S29" s="89" t="s">
        <v>50</v>
      </c>
      <c r="T29" s="89">
        <f>IF(S29="Asignado",[11]Listas!$C$30,[11]Listas!$C$31)</f>
        <v>15</v>
      </c>
      <c r="U29" s="89" t="s">
        <v>51</v>
      </c>
      <c r="V29" s="89">
        <f>IF(U29="Adecuado",[11]Listas!$C$32,[11]Listas!$C$33)</f>
        <v>15</v>
      </c>
      <c r="W29" s="89" t="s">
        <v>52</v>
      </c>
      <c r="X29" s="89">
        <f>IF(W29="Oportuna",[11]Listas!$C$34,[11]Listas!$C$35)</f>
        <v>15</v>
      </c>
      <c r="Y29" s="89" t="s">
        <v>53</v>
      </c>
      <c r="Z29" s="89">
        <f>IF(Y29="Prevenir",[11]Listas!$C$36,IF(Y29="Detectar",[11]Listas!$C$37,[11]Listas!$C$38))</f>
        <v>15</v>
      </c>
      <c r="AA29" s="89" t="s">
        <v>54</v>
      </c>
      <c r="AB29" s="89">
        <f>IF(AA29="Confiable",[11]Listas!$C$39,[11]Listas!$C$40)</f>
        <v>15</v>
      </c>
      <c r="AC29" s="89" t="s">
        <v>55</v>
      </c>
      <c r="AD29" s="89">
        <f>IF(AC29="Se investigan y resuelven oportunamente",[11]Listas!$C$41,[11]Listas!$C$42)</f>
        <v>15</v>
      </c>
      <c r="AE29" s="89" t="s">
        <v>56</v>
      </c>
      <c r="AF29" s="89">
        <f>IF(AE29="Completa",[11]Listas!$C$43,IF(AE29="Incompleta",[11]Listas!$C$44,[11]Listas!$C$45))</f>
        <v>10</v>
      </c>
      <c r="AG29" s="93">
        <f>T29+V29+X29+Z29+AB29+AD29+AF29</f>
        <v>100</v>
      </c>
      <c r="AH29" s="93">
        <f>AVERAGE(AG29:AG30)</f>
        <v>100</v>
      </c>
      <c r="AI29" s="105">
        <v>1</v>
      </c>
      <c r="AJ29" s="93">
        <v>5</v>
      </c>
      <c r="AK29" s="94">
        <f>+AI29*AJ29</f>
        <v>5</v>
      </c>
      <c r="AL29" s="95" t="str">
        <f>IF(AND(AI29=1,AJ29=1),"BAJO",IF(AND(AI29=1,AJ29=2),"BAJO",IF(AND(AI29=2,AJ29=1),"BAJO",IF(AND(AI29=2,AJ29=2),"BAJO",IF(AND(AI29=3,AJ29=1),"BAJO",IF(AND(AI29=1,AJ29=3),"MODERADO",IF(AND(AI29=2,AJ29=3),"MODERADO",IF(AND(AI29=3,AJ29=2),"MODERADO",IF(AND(AI29=4,AJ29=1),"MODERADO",IF(AND(AI29=5,AJ29=1),"ALTO",IF(AND(AI29=4,AJ29=2),"ALTO",IF(AND(AI29=3,AJ29=3),"ALTO",IF(AND(AI29=2,AJ29=4),"ALTO",IF(AND(AI29=1,AJ29=4),"ALTO",IF(AND(AI29=5,AJ29=2),"ALTO",IF(AND(AI29=4,AJ29=3),"ALTO","EXTREMO"))))))))))))))))</f>
        <v>EXTREMO</v>
      </c>
      <c r="AM29" s="89" t="s">
        <v>79</v>
      </c>
      <c r="AN29" s="117" t="s">
        <v>157</v>
      </c>
      <c r="AO29" s="117" t="s">
        <v>158</v>
      </c>
      <c r="AP29" s="117" t="s">
        <v>149</v>
      </c>
      <c r="AQ29" s="129" t="s">
        <v>123</v>
      </c>
      <c r="AR29" s="117" t="s">
        <v>159</v>
      </c>
    </row>
    <row r="30" spans="1:44" s="1" customFormat="1" ht="45" customHeight="1" x14ac:dyDescent="0.25">
      <c r="A30" s="99"/>
      <c r="B30" s="88"/>
      <c r="C30" s="89"/>
      <c r="D30" s="28" t="s">
        <v>142</v>
      </c>
      <c r="E30" s="28" t="s">
        <v>160</v>
      </c>
      <c r="F30" s="82"/>
      <c r="G30" s="31" t="s">
        <v>161</v>
      </c>
      <c r="H30" s="89"/>
      <c r="I30" s="131"/>
      <c r="J30" s="120"/>
      <c r="K30" s="105"/>
      <c r="L30" s="93"/>
      <c r="M30" s="94"/>
      <c r="N30" s="95"/>
      <c r="O30" s="132"/>
      <c r="P30" s="93"/>
      <c r="Q30" s="99"/>
      <c r="R30" s="99"/>
      <c r="S30" s="89"/>
      <c r="T30" s="89"/>
      <c r="U30" s="89"/>
      <c r="V30" s="89"/>
      <c r="W30" s="89"/>
      <c r="X30" s="89"/>
      <c r="Y30" s="89"/>
      <c r="Z30" s="89"/>
      <c r="AA30" s="89"/>
      <c r="AB30" s="89"/>
      <c r="AC30" s="89"/>
      <c r="AD30" s="89"/>
      <c r="AE30" s="89"/>
      <c r="AF30" s="89"/>
      <c r="AG30" s="93"/>
      <c r="AH30" s="93"/>
      <c r="AI30" s="105"/>
      <c r="AJ30" s="93"/>
      <c r="AK30" s="94"/>
      <c r="AL30" s="95"/>
      <c r="AM30" s="89"/>
      <c r="AN30" s="117"/>
      <c r="AO30" s="117"/>
      <c r="AP30" s="117"/>
      <c r="AQ30" s="130"/>
      <c r="AR30" s="117"/>
    </row>
    <row r="31" spans="1:44" s="1" customFormat="1" ht="57" customHeight="1" x14ac:dyDescent="0.25">
      <c r="A31" s="99" t="s">
        <v>226</v>
      </c>
      <c r="B31" s="85">
        <v>14</v>
      </c>
      <c r="C31" s="126" t="s">
        <v>42</v>
      </c>
      <c r="D31" s="28" t="s">
        <v>43</v>
      </c>
      <c r="E31" s="28"/>
      <c r="F31" s="80" t="s">
        <v>42</v>
      </c>
      <c r="G31" s="31" t="s">
        <v>162</v>
      </c>
      <c r="H31" s="89" t="s">
        <v>163</v>
      </c>
      <c r="I31" s="127" t="s">
        <v>164</v>
      </c>
      <c r="J31" s="120" t="s">
        <v>47</v>
      </c>
      <c r="K31" s="105">
        <v>1</v>
      </c>
      <c r="L31" s="93">
        <v>4</v>
      </c>
      <c r="M31" s="94">
        <f t="shared" ref="M31" si="15">K31*L31</f>
        <v>4</v>
      </c>
      <c r="N31" s="95" t="str">
        <f t="shared" ref="N31" si="16">IF(AND(K31=1,L31=1),"BAJO",IF(AND(K31=1,L31=2),"BAJO",IF(AND(K31=2,L31=1),"BAJO",IF(AND(K31=2,L31=2),"BAJO",IF(AND(K31=3,L31=1),"BAJO",IF(AND(K31=1,L31=3),"MODERADO",IF(AND(K31=2,L31=3),"MODERADO",IF(AND(K31=3,L31=2),"MODERADO",IF(AND(K31=4,L31=1),"MODERADO",IF(AND(K31=5,L31=1),"ALTO",IF(AND(K31=4,L31=2),"ALTO",IF(AND(K31=3,L31=3),"ALTO",IF(AND(K31=2,L31=4),"ALTO",IF(AND(K31=1,L31=4),"ALTO",IF(AND(K31=5,L31=2),"ALTO",IF(AND(K31=4,L31=3),"ALTO","EXTREMO"))))))))))))))))</f>
        <v>ALTO</v>
      </c>
      <c r="O31" s="132" t="s">
        <v>165</v>
      </c>
      <c r="P31" s="26" t="s">
        <v>48</v>
      </c>
      <c r="Q31" s="28" t="s">
        <v>49</v>
      </c>
      <c r="R31" s="28" t="s">
        <v>90</v>
      </c>
      <c r="S31" s="8" t="s">
        <v>50</v>
      </c>
      <c r="T31" s="29">
        <f>IF(S31="Asignado",[12]Listas!$C$30,[12]Listas!$C$31)</f>
        <v>15</v>
      </c>
      <c r="U31" s="8" t="s">
        <v>51</v>
      </c>
      <c r="V31" s="29">
        <f>IF(U31="Adecuado",[12]Listas!$C$32,[12]Listas!$C$33)</f>
        <v>15</v>
      </c>
      <c r="W31" s="8" t="s">
        <v>52</v>
      </c>
      <c r="X31" s="29">
        <f>IF(W31="Oportuna",[12]Listas!$C$34,[12]Listas!$C$35)</f>
        <v>15</v>
      </c>
      <c r="Y31" s="8" t="s">
        <v>53</v>
      </c>
      <c r="Z31" s="29">
        <f>IF(Y31="Prevenir",[12]Listas!$C$36,IF(Y31="Detectar",[12]Listas!$C$37,[12]Listas!$C$38))</f>
        <v>15</v>
      </c>
      <c r="AA31" s="8" t="s">
        <v>54</v>
      </c>
      <c r="AB31" s="29">
        <f>IF(AA31="Confiable",[12]Listas!$C$39,[12]Listas!$C$40)</f>
        <v>15</v>
      </c>
      <c r="AC31" s="8" t="s">
        <v>102</v>
      </c>
      <c r="AD31" s="29">
        <f>IF(AC31="Se investigan y resuelven oportunamente",[12]Listas!$C$41,[12]Listas!$C$42)</f>
        <v>0</v>
      </c>
      <c r="AE31" s="8" t="s">
        <v>56</v>
      </c>
      <c r="AF31" s="29">
        <f>IF(AE31="Completa",[12]Listas!$C$43,IF(AE31="Incompleta",[12]Listas!$C$44,[12]Listas!$C$45))</f>
        <v>10</v>
      </c>
      <c r="AG31" s="93">
        <f t="shared" ref="AG31" si="17">T31+V31+X31+Z31+AB31+AD31+AF31</f>
        <v>85</v>
      </c>
      <c r="AH31" s="93">
        <f>AVERAGE(AG31:AG34)</f>
        <v>85</v>
      </c>
      <c r="AI31" s="105">
        <v>1</v>
      </c>
      <c r="AJ31" s="93">
        <v>4</v>
      </c>
      <c r="AK31" s="94">
        <f>+AI31*AJ31</f>
        <v>4</v>
      </c>
      <c r="AL31" s="95" t="str">
        <f>IF(AND(AI31=1,AJ31=1),"BAJO",IF(AND(AI31=1,AJ31=2),"BAJO",IF(AND(AI31=2,AJ31=1),"BAJO",IF(AND(AI31=2,AJ31=2),"BAJO",IF(AND(AI31=3,AJ31=1),"BAJO",IF(AND(AI31=1,AJ31=3),"MODERADO",IF(AND(AI31=2,AJ31=3),"MODERADO",IF(AND(AI31=3,AJ31=2),"MODERADO",IF(AND(AI31=4,AJ31=1),"MODERADO",IF(AND(AI31=5,AJ31=1),"ALTO",IF(AND(AI31=4,AJ31=2),"ALTO",IF(AND(AI31=3,AJ31=3),"ALTO",IF(AND(AI31=2,AJ31=4),"ALTO",IF(AND(AI31=1,AJ31=4),"ALTO",IF(AND(AI31=5,AJ31=2),"ALTO",IF(AND(AI31=4,AJ31=3),"ALTO","EXTREMO"))))))))))))))))</f>
        <v>ALTO</v>
      </c>
      <c r="AM31" s="89" t="s">
        <v>57</v>
      </c>
      <c r="AN31" s="117" t="s">
        <v>166</v>
      </c>
      <c r="AO31" s="117" t="s">
        <v>167</v>
      </c>
      <c r="AP31" s="136" t="s">
        <v>168</v>
      </c>
      <c r="AQ31" s="117" t="s">
        <v>169</v>
      </c>
      <c r="AR31" s="117" t="s">
        <v>170</v>
      </c>
    </row>
    <row r="32" spans="1:44" s="1" customFormat="1" ht="99.75" x14ac:dyDescent="0.25">
      <c r="A32" s="99"/>
      <c r="B32" s="86"/>
      <c r="C32" s="126"/>
      <c r="D32" s="28" t="s">
        <v>43</v>
      </c>
      <c r="E32" s="28"/>
      <c r="F32" s="81"/>
      <c r="G32" s="31" t="s">
        <v>171</v>
      </c>
      <c r="H32" s="89"/>
      <c r="I32" s="127"/>
      <c r="J32" s="120"/>
      <c r="K32" s="105"/>
      <c r="L32" s="93"/>
      <c r="M32" s="94"/>
      <c r="N32" s="95"/>
      <c r="O32" s="132"/>
      <c r="P32" s="26"/>
      <c r="Q32" s="28"/>
      <c r="R32" s="28"/>
      <c r="S32" s="8"/>
      <c r="T32" s="29">
        <f>IF(S32="Asignado",[12]Listas!$C$30,[12]Listas!$C$31)</f>
        <v>0</v>
      </c>
      <c r="U32" s="8"/>
      <c r="V32" s="29">
        <f>IF(U32="Adecuado",[12]Listas!$C$32,[12]Listas!$C$33)</f>
        <v>0</v>
      </c>
      <c r="W32" s="8"/>
      <c r="X32" s="29">
        <f>IF(W32="Oportuna",[12]Listas!$C$34,[12]Listas!$C$35)</f>
        <v>0</v>
      </c>
      <c r="Y32" s="8"/>
      <c r="Z32" s="29">
        <f>IF(Y32="Prevenir",[12]Listas!$C$36,IF(Y32="Detectar",[12]Listas!$C$37,[12]Listas!$C$38))</f>
        <v>0</v>
      </c>
      <c r="AA32" s="8"/>
      <c r="AB32" s="29">
        <f>IF(AA32="Confiable",[12]Listas!$C$39,[12]Listas!$C$40)</f>
        <v>0</v>
      </c>
      <c r="AC32" s="8"/>
      <c r="AD32" s="29">
        <f>IF(AC32="Se investigan y resuelven oportunamente",[12]Listas!$C$41,[12]Listas!$C$42)</f>
        <v>0</v>
      </c>
      <c r="AE32" s="8"/>
      <c r="AF32" s="29">
        <f>IF(AE32="Completa",[12]Listas!$C$43,IF(AE32="Incompleta",[12]Listas!$C$44,[12]Listas!$C$45))</f>
        <v>0</v>
      </c>
      <c r="AG32" s="93"/>
      <c r="AH32" s="93"/>
      <c r="AI32" s="105"/>
      <c r="AJ32" s="93"/>
      <c r="AK32" s="94"/>
      <c r="AL32" s="95"/>
      <c r="AM32" s="89"/>
      <c r="AN32" s="117"/>
      <c r="AO32" s="136"/>
      <c r="AP32" s="136"/>
      <c r="AQ32" s="117"/>
      <c r="AR32" s="117"/>
    </row>
    <row r="33" spans="1:44" s="1" customFormat="1" ht="39" customHeight="1" x14ac:dyDescent="0.25">
      <c r="A33" s="99"/>
      <c r="B33" s="86"/>
      <c r="C33" s="126"/>
      <c r="D33" s="28" t="s">
        <v>43</v>
      </c>
      <c r="E33" s="28"/>
      <c r="F33" s="81"/>
      <c r="G33" s="31" t="s">
        <v>172</v>
      </c>
      <c r="H33" s="89"/>
      <c r="I33" s="127"/>
      <c r="J33" s="120"/>
      <c r="K33" s="105"/>
      <c r="L33" s="93"/>
      <c r="M33" s="94"/>
      <c r="N33" s="95"/>
      <c r="O33" s="132"/>
      <c r="P33" s="26"/>
      <c r="Q33" s="28"/>
      <c r="R33" s="28"/>
      <c r="S33" s="8"/>
      <c r="T33" s="29">
        <f>IF(S33="Asignado",[12]Listas!$C$30,[12]Listas!$C$31)</f>
        <v>0</v>
      </c>
      <c r="U33" s="8"/>
      <c r="V33" s="29">
        <f>IF(U33="Adecuado",[12]Listas!$C$32,[12]Listas!$C$33)</f>
        <v>0</v>
      </c>
      <c r="W33" s="8"/>
      <c r="X33" s="29">
        <f>IF(W33="Oportuna",[12]Listas!$C$34,[12]Listas!$C$35)</f>
        <v>0</v>
      </c>
      <c r="Y33" s="8"/>
      <c r="Z33" s="29">
        <f>IF(Y33="Prevenir",[12]Listas!$C$36,IF(Y33="Detectar",[12]Listas!$C$37,[12]Listas!$C$38))</f>
        <v>0</v>
      </c>
      <c r="AA33" s="8"/>
      <c r="AB33" s="29">
        <f>IF(AA33="Confiable",[12]Listas!$C$39,[12]Listas!$C$40)</f>
        <v>0</v>
      </c>
      <c r="AC33" s="8"/>
      <c r="AD33" s="29">
        <f>IF(AC33="Se investigan y resuelven oportunamente",[12]Listas!$C$41,[12]Listas!$C$42)</f>
        <v>0</v>
      </c>
      <c r="AE33" s="8"/>
      <c r="AF33" s="29">
        <f>IF(AE33="Completa",[12]Listas!$C$43,IF(AE33="Incompleta",[12]Listas!$C$44,[12]Listas!$C$45))</f>
        <v>0</v>
      </c>
      <c r="AG33" s="93"/>
      <c r="AH33" s="93"/>
      <c r="AI33" s="105"/>
      <c r="AJ33" s="93"/>
      <c r="AK33" s="94"/>
      <c r="AL33" s="95"/>
      <c r="AM33" s="89"/>
      <c r="AN33" s="117"/>
      <c r="AO33" s="136"/>
      <c r="AP33" s="136"/>
      <c r="AQ33" s="117"/>
      <c r="AR33" s="117"/>
    </row>
    <row r="34" spans="1:44" s="1" customFormat="1" ht="71.25" x14ac:dyDescent="0.25">
      <c r="A34" s="99"/>
      <c r="B34" s="87"/>
      <c r="C34" s="126"/>
      <c r="D34" s="28" t="s">
        <v>43</v>
      </c>
      <c r="E34" s="28"/>
      <c r="F34" s="82"/>
      <c r="G34" s="24" t="s">
        <v>173</v>
      </c>
      <c r="H34" s="89"/>
      <c r="I34" s="127"/>
      <c r="J34" s="120"/>
      <c r="K34" s="105"/>
      <c r="L34" s="93"/>
      <c r="M34" s="94"/>
      <c r="N34" s="95"/>
      <c r="O34" s="132"/>
      <c r="P34" s="26"/>
      <c r="Q34" s="28"/>
      <c r="R34" s="28"/>
      <c r="S34" s="8"/>
      <c r="T34" s="29">
        <f>IF(S34="Asignado",[12]Listas!$C$30,[12]Listas!$C$31)</f>
        <v>0</v>
      </c>
      <c r="U34" s="8"/>
      <c r="V34" s="29">
        <f>IF(U34="Adecuado",[12]Listas!$C$32,[12]Listas!$C$33)</f>
        <v>0</v>
      </c>
      <c r="W34" s="8"/>
      <c r="X34" s="29">
        <f>IF(W34="Oportuna",[12]Listas!$C$34,[12]Listas!$C$35)</f>
        <v>0</v>
      </c>
      <c r="Y34" s="8"/>
      <c r="Z34" s="29">
        <f>IF(Y34="Prevenir",[12]Listas!$C$36,IF(Y34="Detectar",[12]Listas!$C$37,[12]Listas!$C$38))</f>
        <v>0</v>
      </c>
      <c r="AA34" s="8"/>
      <c r="AB34" s="29">
        <f>IF(AA34="Confiable",[12]Listas!$C$39,[12]Listas!$C$40)</f>
        <v>0</v>
      </c>
      <c r="AC34" s="8"/>
      <c r="AD34" s="29">
        <f>IF(AC34="Se investigan y resuelven oportunamente",[12]Listas!$C$41,[12]Listas!$C$42)</f>
        <v>0</v>
      </c>
      <c r="AE34" s="8"/>
      <c r="AF34" s="29">
        <f>IF(AE34="Completa",[12]Listas!$C$43,IF(AE34="Incompleta",[12]Listas!$C$44,[12]Listas!$C$45))</f>
        <v>0</v>
      </c>
      <c r="AG34" s="93"/>
      <c r="AH34" s="93"/>
      <c r="AI34" s="105"/>
      <c r="AJ34" s="93"/>
      <c r="AK34" s="94"/>
      <c r="AL34" s="95"/>
      <c r="AM34" s="89"/>
      <c r="AN34" s="117"/>
      <c r="AO34" s="136"/>
      <c r="AP34" s="136"/>
      <c r="AQ34" s="117"/>
      <c r="AR34" s="117"/>
    </row>
    <row r="35" spans="1:44" s="1" customFormat="1" ht="134.25" customHeight="1" x14ac:dyDescent="0.25">
      <c r="A35" s="99" t="s">
        <v>227</v>
      </c>
      <c r="B35" s="85">
        <v>15</v>
      </c>
      <c r="C35" s="90" t="s">
        <v>42</v>
      </c>
      <c r="D35" s="17" t="s">
        <v>74</v>
      </c>
      <c r="E35" s="17"/>
      <c r="F35" s="77" t="s">
        <v>42</v>
      </c>
      <c r="G35" s="17" t="s">
        <v>174</v>
      </c>
      <c r="H35" s="77" t="s">
        <v>175</v>
      </c>
      <c r="I35" s="17" t="s">
        <v>176</v>
      </c>
      <c r="J35" s="120" t="s">
        <v>47</v>
      </c>
      <c r="K35" s="105">
        <v>3</v>
      </c>
      <c r="L35" s="93">
        <v>4</v>
      </c>
      <c r="M35" s="94">
        <f t="shared" ref="M35" si="18">K35*L35</f>
        <v>12</v>
      </c>
      <c r="N35" s="137" t="str">
        <f t="shared" ref="N35" si="19">IF(AND(K35=1,L35=1),"BAJO",IF(AND(K35=1,L35=2),"BAJO",IF(AND(K35=2,L35=1),"BAJO",IF(AND(K35=2,L35=2),"BAJO",IF(AND(K35=3,L35=1),"BAJO",IF(AND(K35=1,L35=3),"MODERADO",IF(AND(K35=2,L35=3),"MODERADO",IF(AND(K35=3,L35=2),"MODERADO",IF(AND(K35=4,L35=1),"MODERADO",IF(AND(K35=5,L35=1),"ALTO",IF(AND(K35=4,L35=2),"ALTO",IF(AND(K35=3,L35=3),"ALTO",IF(AND(K35=2,L35=4),"ALTO",IF(AND(K35=1,L35=4),"ALTO",IF(AND(K35=5,L35=2),"ALTO",IF(AND(K35=4,L35=3),"ALTO","EXTREMO"))))))))))))))))</f>
        <v>EXTREMO</v>
      </c>
      <c r="O35" s="59" t="s">
        <v>177</v>
      </c>
      <c r="P35" s="26" t="s">
        <v>48</v>
      </c>
      <c r="Q35" s="28" t="s">
        <v>49</v>
      </c>
      <c r="R35" s="28" t="s">
        <v>49</v>
      </c>
      <c r="S35" s="8" t="s">
        <v>50</v>
      </c>
      <c r="T35" s="29">
        <f>IF(S35="Asignado",[13]Listas!$C$30,[13]Listas!$C$31)</f>
        <v>15</v>
      </c>
      <c r="U35" s="8" t="s">
        <v>51</v>
      </c>
      <c r="V35" s="29">
        <f>IF(U35="Adecuado",[13]Listas!$C$32,[13]Listas!$C$33)</f>
        <v>15</v>
      </c>
      <c r="W35" s="8" t="s">
        <v>52</v>
      </c>
      <c r="X35" s="29">
        <f>IF(W35="Oportuna",[13]Listas!$C$34,[13]Listas!$C$35)</f>
        <v>15</v>
      </c>
      <c r="Y35" s="8" t="s">
        <v>53</v>
      </c>
      <c r="Z35" s="29">
        <f>IF(Y35="Prevenir",[13]Listas!$C$36,IF(Y35="Detectar",[13]Listas!$C$37,[13]Listas!$C$38))</f>
        <v>15</v>
      </c>
      <c r="AA35" s="8" t="s">
        <v>54</v>
      </c>
      <c r="AB35" s="29">
        <f>IF(AA35="Confiable",[13]Listas!$C$39,[13]Listas!$C$40)</f>
        <v>15</v>
      </c>
      <c r="AC35" s="8" t="s">
        <v>102</v>
      </c>
      <c r="AD35" s="29">
        <f>IF(AC35="Se investigan y resuelven oportunamente",[13]Listas!$C$41,[13]Listas!$C$42)</f>
        <v>0</v>
      </c>
      <c r="AE35" s="8" t="s">
        <v>56</v>
      </c>
      <c r="AF35" s="29">
        <f>IF(AE35="Completa",[13]Listas!$C$43,IF(AE35="Incompleta",[13]Listas!$C$44,[13]Listas!$C$45))</f>
        <v>10</v>
      </c>
      <c r="AG35" s="26">
        <f t="shared" ref="AG35:AG37" si="20">T35+V35+X35+Z35+AB35+AD35+AF35</f>
        <v>85</v>
      </c>
      <c r="AH35" s="138">
        <f>AVERAGE(AG35:AG38)</f>
        <v>91.666666666666671</v>
      </c>
      <c r="AI35" s="105">
        <v>2</v>
      </c>
      <c r="AJ35" s="93">
        <v>3</v>
      </c>
      <c r="AK35" s="94">
        <f>+AI35*AJ35</f>
        <v>6</v>
      </c>
      <c r="AL35" s="128" t="str">
        <f>IF(AND(AI35=1,AJ35=1),"BAJO",IF(AND(AI35=1,AJ35=2),"BAJO",IF(AND(AI35=2,AJ35=1),"BAJO",IF(AND(AI35=2,AJ35=2),"BAJO",IF(AND(AI35=3,AJ35=1),"BAJO",IF(AND(AI35=1,AJ35=3),"MODERADO",IF(AND(AI35=2,AJ35=3),"MODERADO",IF(AND(AI35=3,AJ35=2),"MODERADO",IF(AND(AI35=4,AJ35=1),"MODERADO",IF(AND(AI35=5,AJ35=1),"ALTO",IF(AND(AI35=4,AJ35=2),"ALTO",IF(AND(AI35=3,AJ35=3),"ALTO",IF(AND(AI35=2,AJ35=4),"ALTO",IF(AND(AI35=1,AJ35=4),"ALTO",IF(AND(AI35=5,AJ35=2),"ALTO",IF(AND(AI35=4,AJ35=3),"ALTO","EXTREMO"))))))))))))))))</f>
        <v>MODERADO</v>
      </c>
      <c r="AM35" s="89" t="s">
        <v>79</v>
      </c>
      <c r="AN35" s="66" t="s">
        <v>178</v>
      </c>
      <c r="AO35" s="66" t="s">
        <v>179</v>
      </c>
      <c r="AP35" s="66" t="s">
        <v>180</v>
      </c>
      <c r="AQ35" s="67" t="s">
        <v>228</v>
      </c>
      <c r="AR35" s="66" t="s">
        <v>181</v>
      </c>
    </row>
    <row r="36" spans="1:44" s="1" customFormat="1" ht="147.75" customHeight="1" x14ac:dyDescent="0.25">
      <c r="A36" s="99"/>
      <c r="B36" s="86"/>
      <c r="C36" s="90"/>
      <c r="D36" s="17" t="s">
        <v>43</v>
      </c>
      <c r="E36" s="17"/>
      <c r="F36" s="78"/>
      <c r="G36" s="17" t="s">
        <v>182</v>
      </c>
      <c r="H36" s="78"/>
      <c r="I36" s="17" t="s">
        <v>183</v>
      </c>
      <c r="J36" s="120"/>
      <c r="K36" s="105"/>
      <c r="L36" s="93"/>
      <c r="M36" s="94"/>
      <c r="N36" s="137"/>
      <c r="O36" s="59" t="s">
        <v>184</v>
      </c>
      <c r="P36" s="26" t="s">
        <v>98</v>
      </c>
      <c r="Q36" s="28" t="s">
        <v>49</v>
      </c>
      <c r="R36" s="28" t="s">
        <v>90</v>
      </c>
      <c r="S36" s="8" t="s">
        <v>50</v>
      </c>
      <c r="T36" s="29">
        <f>IF(S36="Asignado",[13]Listas!$C$30,[13]Listas!$C$31)</f>
        <v>15</v>
      </c>
      <c r="U36" s="8" t="s">
        <v>51</v>
      </c>
      <c r="V36" s="29">
        <f>IF(U36="Adecuado",[13]Listas!$C$32,[13]Listas!$C$33)</f>
        <v>15</v>
      </c>
      <c r="W36" s="8" t="s">
        <v>52</v>
      </c>
      <c r="X36" s="29">
        <f>IF(W36="Oportuna",[13]Listas!$C$34,[13]Listas!$C$35)</f>
        <v>15</v>
      </c>
      <c r="Y36" s="8" t="s">
        <v>68</v>
      </c>
      <c r="Z36" s="29">
        <f>IF(Y36="Prevenir",[13]Listas!$C$36,IF(Y36="Detectar",[13]Listas!$C$37,[13]Listas!$C$38))</f>
        <v>10</v>
      </c>
      <c r="AA36" s="8" t="s">
        <v>54</v>
      </c>
      <c r="AB36" s="29">
        <f>IF(AA36="Confiable",[13]Listas!$C$39,[13]Listas!$C$40)</f>
        <v>15</v>
      </c>
      <c r="AC36" s="8" t="s">
        <v>55</v>
      </c>
      <c r="AD36" s="29">
        <f>IF(AC36="Se investigan y resuelven oportunamente",[13]Listas!$C$41,[13]Listas!$C$42)</f>
        <v>15</v>
      </c>
      <c r="AE36" s="8" t="s">
        <v>56</v>
      </c>
      <c r="AF36" s="29">
        <f>IF(AE36="Completa",[13]Listas!$C$43,IF(AE36="Incompleta",[13]Listas!$C$44,[13]Listas!$C$45))</f>
        <v>10</v>
      </c>
      <c r="AG36" s="26">
        <f t="shared" si="20"/>
        <v>95</v>
      </c>
      <c r="AH36" s="138"/>
      <c r="AI36" s="105"/>
      <c r="AJ36" s="93"/>
      <c r="AK36" s="94"/>
      <c r="AL36" s="128"/>
      <c r="AM36" s="89"/>
      <c r="AN36" s="66" t="s">
        <v>185</v>
      </c>
      <c r="AO36" s="66" t="s">
        <v>186</v>
      </c>
      <c r="AP36" s="66" t="s">
        <v>180</v>
      </c>
      <c r="AQ36" s="67" t="s">
        <v>187</v>
      </c>
      <c r="AR36" s="66" t="s">
        <v>188</v>
      </c>
    </row>
    <row r="37" spans="1:44" s="1" customFormat="1" ht="65.25" customHeight="1" x14ac:dyDescent="0.25">
      <c r="A37" s="99"/>
      <c r="B37" s="86"/>
      <c r="C37" s="90"/>
      <c r="D37" s="17"/>
      <c r="E37" s="17" t="s">
        <v>189</v>
      </c>
      <c r="F37" s="78"/>
      <c r="G37" s="17" t="s">
        <v>190</v>
      </c>
      <c r="H37" s="78"/>
      <c r="I37" s="17" t="s">
        <v>191</v>
      </c>
      <c r="J37" s="120"/>
      <c r="K37" s="105"/>
      <c r="L37" s="93"/>
      <c r="M37" s="94"/>
      <c r="N37" s="137"/>
      <c r="O37" s="139" t="s">
        <v>192</v>
      </c>
      <c r="P37" s="93" t="s">
        <v>98</v>
      </c>
      <c r="Q37" s="99" t="s">
        <v>49</v>
      </c>
      <c r="R37" s="99" t="s">
        <v>49</v>
      </c>
      <c r="S37" s="89" t="s">
        <v>50</v>
      </c>
      <c r="T37" s="89">
        <f>IF(S37="Asignado",[13]Listas!$C$30,[13]Listas!$C$31)</f>
        <v>15</v>
      </c>
      <c r="U37" s="89" t="s">
        <v>51</v>
      </c>
      <c r="V37" s="89">
        <f>IF(U37="Adecuado",[13]Listas!$C$32,[13]Listas!$C$33)</f>
        <v>15</v>
      </c>
      <c r="W37" s="89" t="s">
        <v>52</v>
      </c>
      <c r="X37" s="89">
        <f>IF(W37="Oportuna",[13]Listas!$C$34,[13]Listas!$C$35)</f>
        <v>15</v>
      </c>
      <c r="Y37" s="89" t="s">
        <v>68</v>
      </c>
      <c r="Z37" s="89">
        <f>IF(Y37="Prevenir",[13]Listas!$C$36,IF(Y37="Detectar",[13]Listas!$C$37,[13]Listas!$C$38))</f>
        <v>10</v>
      </c>
      <c r="AA37" s="89" t="s">
        <v>54</v>
      </c>
      <c r="AB37" s="89">
        <f>IF(AA37="Confiable",[13]Listas!$C$39,[13]Listas!$C$40)</f>
        <v>15</v>
      </c>
      <c r="AC37" s="89" t="s">
        <v>55</v>
      </c>
      <c r="AD37" s="89">
        <f>IF(AC37="Se investigan y resuelven oportunamente",[13]Listas!$C$41,[13]Listas!$C$42)</f>
        <v>15</v>
      </c>
      <c r="AE37" s="89" t="s">
        <v>56</v>
      </c>
      <c r="AF37" s="89">
        <f>IF(AE37="Completa",[13]Listas!$C$43,IF(AE37="Incompleta",[13]Listas!$C$44,[13]Listas!$C$45))</f>
        <v>10</v>
      </c>
      <c r="AG37" s="93">
        <f t="shared" si="20"/>
        <v>95</v>
      </c>
      <c r="AH37" s="138"/>
      <c r="AI37" s="105"/>
      <c r="AJ37" s="93"/>
      <c r="AK37" s="94"/>
      <c r="AL37" s="128"/>
      <c r="AM37" s="89"/>
      <c r="AN37" s="134" t="s">
        <v>193</v>
      </c>
      <c r="AO37" s="134" t="s">
        <v>194</v>
      </c>
      <c r="AP37" s="134" t="s">
        <v>180</v>
      </c>
      <c r="AQ37" s="135" t="s">
        <v>195</v>
      </c>
      <c r="AR37" s="134" t="s">
        <v>196</v>
      </c>
    </row>
    <row r="38" spans="1:44" s="1" customFormat="1" ht="86.25" customHeight="1" x14ac:dyDescent="0.25">
      <c r="A38" s="99"/>
      <c r="B38" s="87"/>
      <c r="C38" s="90"/>
      <c r="D38" s="17"/>
      <c r="E38" s="17"/>
      <c r="F38" s="79"/>
      <c r="G38" s="17"/>
      <c r="H38" s="79"/>
      <c r="I38" s="17" t="s">
        <v>197</v>
      </c>
      <c r="J38" s="120"/>
      <c r="K38" s="105"/>
      <c r="L38" s="93"/>
      <c r="M38" s="94"/>
      <c r="N38" s="137"/>
      <c r="O38" s="139"/>
      <c r="P38" s="93"/>
      <c r="Q38" s="99"/>
      <c r="R38" s="99"/>
      <c r="S38" s="89"/>
      <c r="T38" s="89"/>
      <c r="U38" s="89"/>
      <c r="V38" s="89"/>
      <c r="W38" s="89"/>
      <c r="X38" s="89"/>
      <c r="Y38" s="89"/>
      <c r="Z38" s="89"/>
      <c r="AA38" s="89"/>
      <c r="AB38" s="89"/>
      <c r="AC38" s="89"/>
      <c r="AD38" s="89"/>
      <c r="AE38" s="89"/>
      <c r="AF38" s="89"/>
      <c r="AG38" s="93"/>
      <c r="AH38" s="138"/>
      <c r="AI38" s="105"/>
      <c r="AJ38" s="93"/>
      <c r="AK38" s="94"/>
      <c r="AL38" s="128"/>
      <c r="AM38" s="89"/>
      <c r="AN38" s="134"/>
      <c r="AO38" s="134"/>
      <c r="AP38" s="134"/>
      <c r="AQ38" s="135"/>
      <c r="AR38" s="134"/>
    </row>
    <row r="39" spans="1:44" s="11" customFormat="1" ht="169.5" customHeight="1" x14ac:dyDescent="0.25">
      <c r="A39" s="28" t="s">
        <v>229</v>
      </c>
      <c r="B39" s="39">
        <v>16</v>
      </c>
      <c r="C39" s="29" t="s">
        <v>42</v>
      </c>
      <c r="D39" s="28" t="s">
        <v>43</v>
      </c>
      <c r="E39" s="28" t="s">
        <v>198</v>
      </c>
      <c r="F39" s="28" t="s">
        <v>42</v>
      </c>
      <c r="G39" s="31" t="s">
        <v>199</v>
      </c>
      <c r="H39" s="29" t="s">
        <v>200</v>
      </c>
      <c r="I39" s="30" t="s">
        <v>201</v>
      </c>
      <c r="J39" s="25" t="s">
        <v>47</v>
      </c>
      <c r="K39" s="71">
        <v>2</v>
      </c>
      <c r="L39" s="71">
        <v>3</v>
      </c>
      <c r="M39" s="21">
        <f t="shared" ref="M39" si="21">K39*L39</f>
        <v>6</v>
      </c>
      <c r="N39" s="27" t="str">
        <f>IF(AND(K39=1,L39=1),"BAJO",IF(AND(K39=1,L39=2),"BAJO",IF(AND(K39=2,L39=1),"BAJO",IF(AND(K39=2,L39=2),"BAJO",IF(AND(K39=3,L39=1),"BAJO",IF(AND(K39=1,L39=3),"MODERADO",IF(AND(K39=2,L39=3),"MODERADO",IF(AND(K39=3,L39=2),"MODERADO",IF(AND(K39=4,L39=1),"MODERADO",IF(AND(K39=5,L39=1),"ALTO",IF(AND(K39=4,L39=2),"ALTO",IF(AND(K39=3,L39=3),"ALTO",IF(AND(K39=2,L39=4),"ALTO",IF(AND(K39=1,L39=4),"ALTO",IF(AND(K39=5,L39=2),"ALTO",IF(AND(K39=4,L39=3),"ALTO","EXTREMO"))))))))))))))))</f>
        <v>MODERADO</v>
      </c>
      <c r="O39" s="58" t="s">
        <v>209</v>
      </c>
      <c r="P39" s="26" t="s">
        <v>48</v>
      </c>
      <c r="Q39" s="28" t="s">
        <v>49</v>
      </c>
      <c r="R39" s="28" t="s">
        <v>49</v>
      </c>
      <c r="S39" s="8" t="s">
        <v>50</v>
      </c>
      <c r="T39" s="29">
        <f>IF(S39="Asignado",[14]Listas!$C$30,[14]Listas!$C$31)</f>
        <v>15</v>
      </c>
      <c r="U39" s="8" t="s">
        <v>51</v>
      </c>
      <c r="V39" s="29">
        <f>IF(U39="Adecuado",[14]Listas!$C$32,[14]Listas!$C$33)</f>
        <v>15</v>
      </c>
      <c r="W39" s="8" t="s">
        <v>52</v>
      </c>
      <c r="X39" s="29">
        <f>IF(W39="Oportuna",[14]Listas!$C$34,[14]Listas!$C$35)</f>
        <v>15</v>
      </c>
      <c r="Y39" s="8" t="s">
        <v>53</v>
      </c>
      <c r="Z39" s="29">
        <f>IF(Y39="Prevenir",[14]Listas!$C$36,IF(Y39="Detectar",[14]Listas!$C$37,[14]Listas!$C$38))</f>
        <v>15</v>
      </c>
      <c r="AA39" s="8" t="s">
        <v>54</v>
      </c>
      <c r="AB39" s="29">
        <f>IF(AA39="Confiable",[14]Listas!$C$39,[14]Listas!$C$40)</f>
        <v>15</v>
      </c>
      <c r="AC39" s="8" t="s">
        <v>55</v>
      </c>
      <c r="AD39" s="29">
        <f>IF(AC39="Se investigan y resuelven oportunamente",[14]Listas!$C$41,[14]Listas!$C$42)</f>
        <v>15</v>
      </c>
      <c r="AE39" s="8" t="s">
        <v>56</v>
      </c>
      <c r="AF39" s="29">
        <f>IF(AE39="Completa",[14]Listas!$C$43,IF(AE39="Incompleta",[14]Listas!$C$44,[14]Listas!$C$45))</f>
        <v>10</v>
      </c>
      <c r="AG39" s="26">
        <f t="shared" ref="AG39" si="22">T39+V39+X39+Z39+AB39+AD39+AF39</f>
        <v>100</v>
      </c>
      <c r="AH39" s="26">
        <f>AVERAGE(AG39:AG39)</f>
        <v>100</v>
      </c>
      <c r="AI39" s="22">
        <v>1</v>
      </c>
      <c r="AJ39" s="26">
        <v>3</v>
      </c>
      <c r="AK39" s="21">
        <f>+AI39*AJ39</f>
        <v>3</v>
      </c>
      <c r="AL39" s="27" t="str">
        <f>IF(AND(AI39=1,AJ39=1),"BAJO",IF(AND(AI39=1,AJ39=2),"BAJO",IF(AND(AI39=2,AJ39=1),"BAJO",IF(AND(AI39=2,AJ39=2),"BAJO",IF(AND(AI39=3,AJ39=1),"BAJO",IF(AND(AI39=1,AJ39=3),"MODERADO",IF(AND(AI39=2,AJ39=3),"MODERADO",IF(AND(AI39=3,AJ39=2),"MODERADO",IF(AND(AI39=4,AJ39=1),"MODERADO",IF(AND(AI39=5,AJ39=1),"ALTO",IF(AND(AI39=4,AJ39=2),"ALTO",IF(AND(AI39=3,AJ39=3),"ALTO",IF(AND(AI39=2,AJ39=4),"ALTO",IF(AND(AI39=1,AJ39=4),"ALTO",IF(AND(AI39=5,AJ39=2),"ALTO",IF(AND(AI39=4,AJ39=3),"ALTO","EXTREMO"))))))))))))))))</f>
        <v>MODERADO</v>
      </c>
      <c r="AM39" s="29" t="s">
        <v>57</v>
      </c>
      <c r="AN39" s="31" t="s">
        <v>241</v>
      </c>
      <c r="AO39" s="64" t="s">
        <v>202</v>
      </c>
      <c r="AP39" s="64" t="s">
        <v>203</v>
      </c>
      <c r="AQ39" s="64" t="s">
        <v>204</v>
      </c>
      <c r="AR39" s="32" t="s">
        <v>240</v>
      </c>
    </row>
    <row r="41" spans="1:44" x14ac:dyDescent="0.25">
      <c r="AP41" s="76" t="s">
        <v>243</v>
      </c>
      <c r="AQ41" s="76"/>
      <c r="AR41" s="76"/>
    </row>
  </sheetData>
  <mergeCells count="315">
    <mergeCell ref="J35:J38"/>
    <mergeCell ref="K35:K38"/>
    <mergeCell ref="AN31:AN34"/>
    <mergeCell ref="AO31:AO34"/>
    <mergeCell ref="AP31:AP34"/>
    <mergeCell ref="AL31:AL34"/>
    <mergeCell ref="AM31:AM34"/>
    <mergeCell ref="L35:L38"/>
    <mergeCell ref="M35:M38"/>
    <mergeCell ref="N35:N38"/>
    <mergeCell ref="AH35:AH38"/>
    <mergeCell ref="O37:O38"/>
    <mergeCell ref="P37:P38"/>
    <mergeCell ref="Q37:Q38"/>
    <mergeCell ref="R37:R38"/>
    <mergeCell ref="S37:S38"/>
    <mergeCell ref="T37:T38"/>
    <mergeCell ref="U37:U38"/>
    <mergeCell ref="V37:V38"/>
    <mergeCell ref="AJ35:AJ38"/>
    <mergeCell ref="A3:AR3"/>
    <mergeCell ref="A10:A13"/>
    <mergeCell ref="A14:A15"/>
    <mergeCell ref="A16:A19"/>
    <mergeCell ref="A27:A30"/>
    <mergeCell ref="A31:A34"/>
    <mergeCell ref="A35:A38"/>
    <mergeCell ref="AP37:AP38"/>
    <mergeCell ref="AQ37:AQ38"/>
    <mergeCell ref="AR37:AR38"/>
    <mergeCell ref="W37:W38"/>
    <mergeCell ref="X37:X38"/>
    <mergeCell ref="Y37:Y38"/>
    <mergeCell ref="AE37:AE38"/>
    <mergeCell ref="AF37:AF38"/>
    <mergeCell ref="AG37:AG38"/>
    <mergeCell ref="AN37:AN38"/>
    <mergeCell ref="AO37:AO38"/>
    <mergeCell ref="Z37:Z38"/>
    <mergeCell ref="AQ31:AQ34"/>
    <mergeCell ref="AR31:AR34"/>
    <mergeCell ref="AI31:AI34"/>
    <mergeCell ref="AJ31:AJ34"/>
    <mergeCell ref="AK31:AK34"/>
    <mergeCell ref="AP29:AP30"/>
    <mergeCell ref="AQ29:AQ30"/>
    <mergeCell ref="AR29:AR30"/>
    <mergeCell ref="C31:C34"/>
    <mergeCell ref="H31:H34"/>
    <mergeCell ref="I31:I34"/>
    <mergeCell ref="J31:J34"/>
    <mergeCell ref="K31:K34"/>
    <mergeCell ref="L31:L34"/>
    <mergeCell ref="M31:M34"/>
    <mergeCell ref="N31:N34"/>
    <mergeCell ref="O31:O34"/>
    <mergeCell ref="AG31:AG34"/>
    <mergeCell ref="AH31:AH34"/>
    <mergeCell ref="AJ29:AJ30"/>
    <mergeCell ref="AK29:AK30"/>
    <mergeCell ref="AL29:AL30"/>
    <mergeCell ref="AM29:AM30"/>
    <mergeCell ref="AN29:AN30"/>
    <mergeCell ref="AE29:AE30"/>
    <mergeCell ref="R29:R30"/>
    <mergeCell ref="S29:S30"/>
    <mergeCell ref="T29:T30"/>
    <mergeCell ref="AM27:AM28"/>
    <mergeCell ref="AN27:AN28"/>
    <mergeCell ref="AK35:AK38"/>
    <mergeCell ref="AL35:AL38"/>
    <mergeCell ref="AM35:AM38"/>
    <mergeCell ref="AA37:AA38"/>
    <mergeCell ref="AB37:AB38"/>
    <mergeCell ref="AC37:AC38"/>
    <mergeCell ref="AD37:AD38"/>
    <mergeCell ref="AI35:AI38"/>
    <mergeCell ref="AO27:AO28"/>
    <mergeCell ref="AI29:AI30"/>
    <mergeCell ref="Z29:Z30"/>
    <mergeCell ref="AA29:AA30"/>
    <mergeCell ref="AB29:AB30"/>
    <mergeCell ref="AC29:AC30"/>
    <mergeCell ref="AD29:AD30"/>
    <mergeCell ref="U29:U30"/>
    <mergeCell ref="V29:V30"/>
    <mergeCell ref="W29:W30"/>
    <mergeCell ref="X29:X30"/>
    <mergeCell ref="Y29:Y30"/>
    <mergeCell ref="AO29:AO30"/>
    <mergeCell ref="AF29:AF30"/>
    <mergeCell ref="AG29:AG30"/>
    <mergeCell ref="AH29:AH30"/>
    <mergeCell ref="H29:H30"/>
    <mergeCell ref="I29:I30"/>
    <mergeCell ref="J29:J30"/>
    <mergeCell ref="K29:K30"/>
    <mergeCell ref="L29:L30"/>
    <mergeCell ref="M29:M30"/>
    <mergeCell ref="N29:N30"/>
    <mergeCell ref="P29:P30"/>
    <mergeCell ref="Q29:Q30"/>
    <mergeCell ref="O29:O30"/>
    <mergeCell ref="AQ24:AQ25"/>
    <mergeCell ref="AR24:AR25"/>
    <mergeCell ref="B27:B28"/>
    <mergeCell ref="C27:C28"/>
    <mergeCell ref="H27:H28"/>
    <mergeCell ref="I27:I28"/>
    <mergeCell ref="J27:J28"/>
    <mergeCell ref="K27:K28"/>
    <mergeCell ref="L27:L28"/>
    <mergeCell ref="M27:M28"/>
    <mergeCell ref="N27:N28"/>
    <mergeCell ref="AH27:AH28"/>
    <mergeCell ref="AI27:AI28"/>
    <mergeCell ref="AJ27:AJ28"/>
    <mergeCell ref="AK27:AK28"/>
    <mergeCell ref="AL27:AL28"/>
    <mergeCell ref="AL24:AL25"/>
    <mergeCell ref="AM24:AM25"/>
    <mergeCell ref="AN24:AN25"/>
    <mergeCell ref="AO24:AO25"/>
    <mergeCell ref="AP24:AP25"/>
    <mergeCell ref="AR27:AR28"/>
    <mergeCell ref="AP27:AP28"/>
    <mergeCell ref="AQ27:AQ28"/>
    <mergeCell ref="AO16:AO19"/>
    <mergeCell ref="AP16:AP19"/>
    <mergeCell ref="AQ16:AQ19"/>
    <mergeCell ref="AR16:AR19"/>
    <mergeCell ref="B24:B25"/>
    <mergeCell ref="H24:H25"/>
    <mergeCell ref="I24:I25"/>
    <mergeCell ref="J24:J25"/>
    <mergeCell ref="K24:K25"/>
    <mergeCell ref="L24:L25"/>
    <mergeCell ref="M24:M25"/>
    <mergeCell ref="N24:N25"/>
    <mergeCell ref="AH24:AH25"/>
    <mergeCell ref="AI24:AI25"/>
    <mergeCell ref="AJ24:AJ25"/>
    <mergeCell ref="AK24:AK25"/>
    <mergeCell ref="AJ16:AJ19"/>
    <mergeCell ref="AK16:AK19"/>
    <mergeCell ref="AL16:AL19"/>
    <mergeCell ref="AM16:AM19"/>
    <mergeCell ref="AN16:AN19"/>
    <mergeCell ref="AE16:AE19"/>
    <mergeCell ref="AF16:AF19"/>
    <mergeCell ref="AG16:AG19"/>
    <mergeCell ref="R16:R19"/>
    <mergeCell ref="S16:S19"/>
    <mergeCell ref="T16:T19"/>
    <mergeCell ref="AH16:AH19"/>
    <mergeCell ref="AI16:AI19"/>
    <mergeCell ref="Z16:Z19"/>
    <mergeCell ref="AA16:AA19"/>
    <mergeCell ref="AB16:AB19"/>
    <mergeCell ref="AC16:AC19"/>
    <mergeCell ref="AD16:AD19"/>
    <mergeCell ref="U16:U19"/>
    <mergeCell ref="V16:V19"/>
    <mergeCell ref="W16:W19"/>
    <mergeCell ref="X16:X19"/>
    <mergeCell ref="Y16:Y19"/>
    <mergeCell ref="AN10:AN13"/>
    <mergeCell ref="AE10:AE13"/>
    <mergeCell ref="AF10:AF13"/>
    <mergeCell ref="AG10:AG13"/>
    <mergeCell ref="AH10:AH13"/>
    <mergeCell ref="Z14:Z15"/>
    <mergeCell ref="AA14:AA15"/>
    <mergeCell ref="AQ14:AQ15"/>
    <mergeCell ref="AR14:AR15"/>
    <mergeCell ref="AP14:AP15"/>
    <mergeCell ref="AL14:AL15"/>
    <mergeCell ref="AM14:AM15"/>
    <mergeCell ref="AN14:AN15"/>
    <mergeCell ref="AO14:AO15"/>
    <mergeCell ref="AG14:AG15"/>
    <mergeCell ref="AK14:AK15"/>
    <mergeCell ref="AB14:AB15"/>
    <mergeCell ref="AC14:AC15"/>
    <mergeCell ref="AD14:AD15"/>
    <mergeCell ref="AE14:AE15"/>
    <mergeCell ref="AF14:AF15"/>
    <mergeCell ref="AH14:AH15"/>
    <mergeCell ref="AI14:AI15"/>
    <mergeCell ref="AM10:AM13"/>
    <mergeCell ref="AQ10:AQ13"/>
    <mergeCell ref="AR10:AR13"/>
    <mergeCell ref="AI10:AI13"/>
    <mergeCell ref="C6:C7"/>
    <mergeCell ref="R14:R15"/>
    <mergeCell ref="B14:B15"/>
    <mergeCell ref="G14:G15"/>
    <mergeCell ref="H14:H15"/>
    <mergeCell ref="I14:I15"/>
    <mergeCell ref="J14:J15"/>
    <mergeCell ref="K14:K15"/>
    <mergeCell ref="L14:L15"/>
    <mergeCell ref="M14:M15"/>
    <mergeCell ref="N14:N15"/>
    <mergeCell ref="S14:S15"/>
    <mergeCell ref="T14:T15"/>
    <mergeCell ref="U14:U15"/>
    <mergeCell ref="V14:V15"/>
    <mergeCell ref="W14:W15"/>
    <mergeCell ref="X14:X15"/>
    <mergeCell ref="Y14:Y15"/>
    <mergeCell ref="AO10:AO13"/>
    <mergeCell ref="AP10:AP13"/>
    <mergeCell ref="AJ14:AJ15"/>
    <mergeCell ref="R6:R7"/>
    <mergeCell ref="S6:AF6"/>
    <mergeCell ref="AI5:AL5"/>
    <mergeCell ref="O5:AH5"/>
    <mergeCell ref="AM5:AR5"/>
    <mergeCell ref="B10:B13"/>
    <mergeCell ref="H10:H13"/>
    <mergeCell ref="I10:I13"/>
    <mergeCell ref="J10:J13"/>
    <mergeCell ref="K10:K13"/>
    <mergeCell ref="L10:L13"/>
    <mergeCell ref="M10:M13"/>
    <mergeCell ref="N10:N13"/>
    <mergeCell ref="O10:O13"/>
    <mergeCell ref="P10:P13"/>
    <mergeCell ref="Q10:Q13"/>
    <mergeCell ref="R10:R13"/>
    <mergeCell ref="S10:S13"/>
    <mergeCell ref="T10:T13"/>
    <mergeCell ref="H6:H7"/>
    <mergeCell ref="C5:E5"/>
    <mergeCell ref="F5:J5"/>
    <mergeCell ref="K5:N5"/>
    <mergeCell ref="Y10:Y13"/>
    <mergeCell ref="P14:P15"/>
    <mergeCell ref="Q14:Q15"/>
    <mergeCell ref="F14:F15"/>
    <mergeCell ref="F16:F19"/>
    <mergeCell ref="C16:C19"/>
    <mergeCell ref="B6:B7"/>
    <mergeCell ref="D6:E6"/>
    <mergeCell ref="L6:L7"/>
    <mergeCell ref="M6:N7"/>
    <mergeCell ref="O6:O7"/>
    <mergeCell ref="P6:P7"/>
    <mergeCell ref="Q6:Q7"/>
    <mergeCell ref="B16:B19"/>
    <mergeCell ref="H16:H19"/>
    <mergeCell ref="I16:I19"/>
    <mergeCell ref="J16:J19"/>
    <mergeCell ref="K16:K19"/>
    <mergeCell ref="L16:L19"/>
    <mergeCell ref="M16:M19"/>
    <mergeCell ref="N16:N19"/>
    <mergeCell ref="O16:O19"/>
    <mergeCell ref="P16:P19"/>
    <mergeCell ref="Q16:Q19"/>
    <mergeCell ref="C10:C13"/>
    <mergeCell ref="F10:F13"/>
    <mergeCell ref="A21:A22"/>
    <mergeCell ref="F6:F7"/>
    <mergeCell ref="G6:G7"/>
    <mergeCell ref="I6:I7"/>
    <mergeCell ref="J6:J7"/>
    <mergeCell ref="K6:K7"/>
    <mergeCell ref="O14:O15"/>
    <mergeCell ref="Z10:Z13"/>
    <mergeCell ref="AA10:AA13"/>
    <mergeCell ref="AB10:AB13"/>
    <mergeCell ref="AC10:AC13"/>
    <mergeCell ref="AD10:AD13"/>
    <mergeCell ref="AJ10:AJ13"/>
    <mergeCell ref="AK10:AK13"/>
    <mergeCell ref="AL10:AL13"/>
    <mergeCell ref="U10:U13"/>
    <mergeCell ref="V10:V13"/>
    <mergeCell ref="W10:W13"/>
    <mergeCell ref="X10:X13"/>
    <mergeCell ref="AC7:AD7"/>
    <mergeCell ref="AI6:AI7"/>
    <mergeCell ref="AJ6:AJ7"/>
    <mergeCell ref="AK6:AL7"/>
    <mergeCell ref="AM6:AM7"/>
    <mergeCell ref="AN6:AN7"/>
    <mergeCell ref="AH6:AH7"/>
    <mergeCell ref="AE7:AF7"/>
    <mergeCell ref="AG6:AG7"/>
    <mergeCell ref="A4:AR4"/>
    <mergeCell ref="AP41:AR41"/>
    <mergeCell ref="F35:F38"/>
    <mergeCell ref="A24:A26"/>
    <mergeCell ref="F24:F25"/>
    <mergeCell ref="C24:C25"/>
    <mergeCell ref="F27:F28"/>
    <mergeCell ref="F29:F30"/>
    <mergeCell ref="B31:B34"/>
    <mergeCell ref="B35:B38"/>
    <mergeCell ref="F31:F34"/>
    <mergeCell ref="B29:B30"/>
    <mergeCell ref="C29:C30"/>
    <mergeCell ref="C35:C38"/>
    <mergeCell ref="H35:H38"/>
    <mergeCell ref="AO6:AO7"/>
    <mergeCell ref="AP6:AP7"/>
    <mergeCell ref="AQ6:AQ7"/>
    <mergeCell ref="AR6:AR7"/>
    <mergeCell ref="S7:T7"/>
    <mergeCell ref="U7:V7"/>
    <mergeCell ref="W7:X7"/>
    <mergeCell ref="Y7:Z7"/>
    <mergeCell ref="AA7:AB7"/>
  </mergeCells>
  <conditionalFormatting sqref="AL8">
    <cfRule type="expression" dxfId="144" priority="179">
      <formula>AL8="EXTREMO"</formula>
    </cfRule>
    <cfRule type="expression" dxfId="143" priority="180">
      <formula>AL8="MODERADO"</formula>
    </cfRule>
    <cfRule type="expression" dxfId="142" priority="181">
      <formula>AL8="ALTO"</formula>
    </cfRule>
    <cfRule type="expression" dxfId="141" priority="182">
      <formula>AL8="BAJO"</formula>
    </cfRule>
  </conditionalFormatting>
  <conditionalFormatting sqref="AL8">
    <cfRule type="expression" dxfId="140" priority="178">
      <formula>AL8=" "</formula>
    </cfRule>
  </conditionalFormatting>
  <conditionalFormatting sqref="N8">
    <cfRule type="expression" dxfId="139" priority="171">
      <formula>N8="EXTREMO"</formula>
    </cfRule>
    <cfRule type="expression" dxfId="138" priority="172">
      <formula>N8="MODERADO"</formula>
    </cfRule>
    <cfRule type="expression" dxfId="137" priority="173">
      <formula>N8="ALTO"</formula>
    </cfRule>
    <cfRule type="expression" dxfId="136" priority="174">
      <formula>N8="BAJO"</formula>
    </cfRule>
  </conditionalFormatting>
  <conditionalFormatting sqref="N8">
    <cfRule type="expression" dxfId="135" priority="170">
      <formula>N8=" "</formula>
    </cfRule>
  </conditionalFormatting>
  <conditionalFormatting sqref="AL39">
    <cfRule type="expression" dxfId="134" priority="14">
      <formula>AL39=" "</formula>
    </cfRule>
  </conditionalFormatting>
  <conditionalFormatting sqref="AL9">
    <cfRule type="expression" dxfId="133" priority="153">
      <formula>AL9="EXTREMO"</formula>
    </cfRule>
    <cfRule type="expression" dxfId="132" priority="154">
      <formula>AL9="MODERADO"</formula>
    </cfRule>
    <cfRule type="expression" dxfId="131" priority="155">
      <formula>AL9="ALTO"</formula>
    </cfRule>
    <cfRule type="expression" dxfId="130" priority="156">
      <formula>AL9="BAJO"</formula>
    </cfRule>
  </conditionalFormatting>
  <conditionalFormatting sqref="AL9">
    <cfRule type="expression" dxfId="129" priority="152">
      <formula>AL9=" "</formula>
    </cfRule>
  </conditionalFormatting>
  <conditionalFormatting sqref="N9">
    <cfRule type="expression" dxfId="128" priority="145">
      <formula>N9="EXTREMO"</formula>
    </cfRule>
    <cfRule type="expression" dxfId="127" priority="146">
      <formula>N9="MODERADO"</formula>
    </cfRule>
    <cfRule type="expression" dxfId="126" priority="147">
      <formula>N9="ALTO"</formula>
    </cfRule>
    <cfRule type="expression" dxfId="125" priority="148">
      <formula>N9="BAJO"</formula>
    </cfRule>
  </conditionalFormatting>
  <conditionalFormatting sqref="N9">
    <cfRule type="expression" dxfId="124" priority="144">
      <formula>N9=" "</formula>
    </cfRule>
  </conditionalFormatting>
  <conditionalFormatting sqref="N10">
    <cfRule type="expression" dxfId="123" priority="140">
      <formula>N10="EXTREMO"</formula>
    </cfRule>
    <cfRule type="expression" dxfId="122" priority="141">
      <formula>N10="MODERADO"</formula>
    </cfRule>
    <cfRule type="expression" dxfId="121" priority="142">
      <formula>N10="ALTO"</formula>
    </cfRule>
    <cfRule type="expression" dxfId="120" priority="143">
      <formula>N10="BAJO"</formula>
    </cfRule>
  </conditionalFormatting>
  <conditionalFormatting sqref="N10">
    <cfRule type="expression" dxfId="119" priority="139">
      <formula>N10=" "</formula>
    </cfRule>
  </conditionalFormatting>
  <conditionalFormatting sqref="AL10">
    <cfRule type="expression" dxfId="118" priority="135">
      <formula>AL10="EXTREMO"</formula>
    </cfRule>
    <cfRule type="expression" dxfId="117" priority="136">
      <formula>AL10="MODERADO"</formula>
    </cfRule>
    <cfRule type="expression" dxfId="116" priority="137">
      <formula>AL10="ALTO"</formula>
    </cfRule>
    <cfRule type="expression" dxfId="115" priority="138">
      <formula>AL10="BAJO"</formula>
    </cfRule>
  </conditionalFormatting>
  <conditionalFormatting sqref="AL10">
    <cfRule type="expression" dxfId="114" priority="134">
      <formula>AL10=" "</formula>
    </cfRule>
  </conditionalFormatting>
  <conditionalFormatting sqref="AL14 N14">
    <cfRule type="expression" dxfId="113" priority="130">
      <formula>N14="EXTREMO"</formula>
    </cfRule>
    <cfRule type="expression" dxfId="112" priority="131">
      <formula>N14="MODERADO"</formula>
    </cfRule>
    <cfRule type="expression" dxfId="111" priority="132">
      <formula>N14="ALTO"</formula>
    </cfRule>
    <cfRule type="expression" dxfId="110" priority="133">
      <formula>N14="BAJO"</formula>
    </cfRule>
  </conditionalFormatting>
  <conditionalFormatting sqref="AL14 N14">
    <cfRule type="expression" dxfId="109" priority="129">
      <formula>N14=" "</formula>
    </cfRule>
  </conditionalFormatting>
  <conditionalFormatting sqref="N16">
    <cfRule type="expression" dxfId="108" priority="125">
      <formula>N16="EXTREMO"</formula>
    </cfRule>
    <cfRule type="expression" dxfId="107" priority="126">
      <formula>N16="MODERADO"</formula>
    </cfRule>
    <cfRule type="expression" dxfId="106" priority="127">
      <formula>N16="ALTO"</formula>
    </cfRule>
    <cfRule type="expression" dxfId="105" priority="128">
      <formula>N16="BAJO"</formula>
    </cfRule>
  </conditionalFormatting>
  <conditionalFormatting sqref="N16">
    <cfRule type="expression" dxfId="104" priority="124">
      <formula>N16=" "</formula>
    </cfRule>
  </conditionalFormatting>
  <conditionalFormatting sqref="AL16">
    <cfRule type="expression" dxfId="103" priority="120">
      <formula>AL16="EXTREMO"</formula>
    </cfRule>
    <cfRule type="expression" dxfId="102" priority="121">
      <formula>AL16="MODERADO"</formula>
    </cfRule>
    <cfRule type="expression" dxfId="101" priority="122">
      <formula>AL16="ALTO"</formula>
    </cfRule>
    <cfRule type="expression" dxfId="100" priority="123">
      <formula>AL16="BAJO"</formula>
    </cfRule>
  </conditionalFormatting>
  <conditionalFormatting sqref="AL16">
    <cfRule type="expression" dxfId="99" priority="119">
      <formula>AL16=" "</formula>
    </cfRule>
  </conditionalFormatting>
  <conditionalFormatting sqref="N20">
    <cfRule type="expression" dxfId="98" priority="115">
      <formula>N20="EXTREMO"</formula>
    </cfRule>
    <cfRule type="expression" dxfId="97" priority="116">
      <formula>N20="MODERADO"</formula>
    </cfRule>
    <cfRule type="expression" dxfId="96" priority="117">
      <formula>N20="ALTO"</formula>
    </cfRule>
    <cfRule type="expression" dxfId="95" priority="118">
      <formula>N20="BAJO"</formula>
    </cfRule>
  </conditionalFormatting>
  <conditionalFormatting sqref="N20">
    <cfRule type="expression" dxfId="94" priority="114">
      <formula>N20=" "</formula>
    </cfRule>
  </conditionalFormatting>
  <conditionalFormatting sqref="AL20">
    <cfRule type="expression" dxfId="93" priority="110">
      <formula>AL20="EXTREMO"</formula>
    </cfRule>
    <cfRule type="expression" dxfId="92" priority="111">
      <formula>AL20="MODERADO"</formula>
    </cfRule>
    <cfRule type="expression" dxfId="91" priority="112">
      <formula>AL20="ALTO"</formula>
    </cfRule>
    <cfRule type="expression" dxfId="90" priority="113">
      <formula>AL20="BAJO"</formula>
    </cfRule>
  </conditionalFormatting>
  <conditionalFormatting sqref="AL20">
    <cfRule type="expression" dxfId="89" priority="109">
      <formula>AL20=" "</formula>
    </cfRule>
  </conditionalFormatting>
  <conditionalFormatting sqref="N22">
    <cfRule type="expression" dxfId="88" priority="102">
      <formula>N22="EXTREMO"</formula>
    </cfRule>
    <cfRule type="expression" dxfId="87" priority="103">
      <formula>N22="MODERADO"</formula>
    </cfRule>
    <cfRule type="expression" dxfId="86" priority="104">
      <formula>N22="ALTO"</formula>
    </cfRule>
    <cfRule type="expression" dxfId="85" priority="105">
      <formula>N22="BAJO"</formula>
    </cfRule>
  </conditionalFormatting>
  <conditionalFormatting sqref="N22">
    <cfRule type="expression" dxfId="84" priority="101">
      <formula>N22=" "</formula>
    </cfRule>
  </conditionalFormatting>
  <conditionalFormatting sqref="AL22">
    <cfRule type="expression" dxfId="83" priority="97">
      <formula>AL22="EXTREMO"</formula>
    </cfRule>
    <cfRule type="expression" dxfId="82" priority="98">
      <formula>AL22="MODERADO"</formula>
    </cfRule>
    <cfRule type="expression" dxfId="81" priority="99">
      <formula>AL22="ALTO"</formula>
    </cfRule>
    <cfRule type="expression" dxfId="80" priority="100">
      <formula>AL22="BAJO"</formula>
    </cfRule>
  </conditionalFormatting>
  <conditionalFormatting sqref="AL22">
    <cfRule type="expression" dxfId="79" priority="96">
      <formula>AL22=" "</formula>
    </cfRule>
  </conditionalFormatting>
  <conditionalFormatting sqref="N23">
    <cfRule type="expression" dxfId="78" priority="92">
      <formula>N23="EXTREMO"</formula>
    </cfRule>
    <cfRule type="expression" dxfId="77" priority="93">
      <formula>N23="MODERADO"</formula>
    </cfRule>
    <cfRule type="expression" dxfId="76" priority="94">
      <formula>N23="ALTO"</formula>
    </cfRule>
    <cfRule type="expression" dxfId="75" priority="95">
      <formula>N23="BAJO"</formula>
    </cfRule>
  </conditionalFormatting>
  <conditionalFormatting sqref="N23">
    <cfRule type="expression" dxfId="74" priority="91">
      <formula>N23=" "</formula>
    </cfRule>
  </conditionalFormatting>
  <conditionalFormatting sqref="AL23">
    <cfRule type="expression" dxfId="73" priority="87">
      <formula>AL23="EXTREMO"</formula>
    </cfRule>
    <cfRule type="expression" dxfId="72" priority="88">
      <formula>AL23="MODERADO"</formula>
    </cfRule>
    <cfRule type="expression" dxfId="71" priority="89">
      <formula>AL23="ALTO"</formula>
    </cfRule>
    <cfRule type="expression" dxfId="70" priority="90">
      <formula>AL23="BAJO"</formula>
    </cfRule>
  </conditionalFormatting>
  <conditionalFormatting sqref="AL23">
    <cfRule type="expression" dxfId="69" priority="86">
      <formula>AL23=" "</formula>
    </cfRule>
  </conditionalFormatting>
  <conditionalFormatting sqref="N24">
    <cfRule type="expression" dxfId="68" priority="79">
      <formula>N24="EXTREMO"</formula>
    </cfRule>
    <cfRule type="expression" dxfId="67" priority="80">
      <formula>N24="MODERADO"</formula>
    </cfRule>
    <cfRule type="expression" dxfId="66" priority="81">
      <formula>N24="ALTO"</formula>
    </cfRule>
    <cfRule type="expression" dxfId="65" priority="82">
      <formula>N24="BAJO"</formula>
    </cfRule>
  </conditionalFormatting>
  <conditionalFormatting sqref="N24">
    <cfRule type="expression" dxfId="64" priority="78">
      <formula>N24=" "</formula>
    </cfRule>
  </conditionalFormatting>
  <conditionalFormatting sqref="AL24">
    <cfRule type="expression" dxfId="63" priority="74">
      <formula>AL24="EXTREMO"</formula>
    </cfRule>
    <cfRule type="expression" dxfId="62" priority="75">
      <formula>AL24="MODERADO"</formula>
    </cfRule>
    <cfRule type="expression" dxfId="61" priority="76">
      <formula>AL24="ALTO"</formula>
    </cfRule>
    <cfRule type="expression" dxfId="60" priority="77">
      <formula>AL24="BAJO"</formula>
    </cfRule>
  </conditionalFormatting>
  <conditionalFormatting sqref="AL24">
    <cfRule type="expression" dxfId="59" priority="73">
      <formula>AL24=" "</formula>
    </cfRule>
  </conditionalFormatting>
  <conditionalFormatting sqref="N26">
    <cfRule type="expression" dxfId="58" priority="63">
      <formula>N26="EXTREMO"</formula>
    </cfRule>
    <cfRule type="expression" dxfId="57" priority="64">
      <formula>N26="MODERADO"</formula>
    </cfRule>
    <cfRule type="expression" dxfId="56" priority="65">
      <formula>N26="ALTO"</formula>
    </cfRule>
    <cfRule type="expression" dxfId="55" priority="66">
      <formula>N26="BAJO"</formula>
    </cfRule>
  </conditionalFormatting>
  <conditionalFormatting sqref="N26">
    <cfRule type="expression" dxfId="54" priority="62">
      <formula>N26=" "</formula>
    </cfRule>
  </conditionalFormatting>
  <conditionalFormatting sqref="AL26">
    <cfRule type="expression" dxfId="53" priority="58">
      <formula>AL26="EXTREMO"</formula>
    </cfRule>
    <cfRule type="expression" dxfId="52" priority="59">
      <formula>AL26="MODERADO"</formula>
    </cfRule>
    <cfRule type="expression" dxfId="51" priority="60">
      <formula>AL26="ALTO"</formula>
    </cfRule>
    <cfRule type="expression" dxfId="50" priority="61">
      <formula>AL26="BAJO"</formula>
    </cfRule>
  </conditionalFormatting>
  <conditionalFormatting sqref="AL26">
    <cfRule type="expression" dxfId="49" priority="57">
      <formula>AL26=" "</formula>
    </cfRule>
  </conditionalFormatting>
  <conditionalFormatting sqref="N27 N29">
    <cfRule type="expression" dxfId="48" priority="50">
      <formula>N27="EXTREMO"</formula>
    </cfRule>
    <cfRule type="expression" dxfId="47" priority="51">
      <formula>N27="MODERADO"</formula>
    </cfRule>
    <cfRule type="expression" dxfId="46" priority="52">
      <formula>N27="ALTO"</formula>
    </cfRule>
    <cfRule type="expression" dxfId="45" priority="53">
      <formula>N27="BAJO"</formula>
    </cfRule>
  </conditionalFormatting>
  <conditionalFormatting sqref="N27 N29">
    <cfRule type="expression" dxfId="44" priority="49">
      <formula>N27=" "</formula>
    </cfRule>
  </conditionalFormatting>
  <conditionalFormatting sqref="AL27 AL29">
    <cfRule type="expression" dxfId="43" priority="45">
      <formula>AL27="EXTREMO"</formula>
    </cfRule>
    <cfRule type="expression" dxfId="42" priority="46">
      <formula>AL27="MODERADO"</formula>
    </cfRule>
    <cfRule type="expression" dxfId="41" priority="47">
      <formula>AL27="ALTO"</formula>
    </cfRule>
    <cfRule type="expression" dxfId="40" priority="48">
      <formula>AL27="BAJO"</formula>
    </cfRule>
  </conditionalFormatting>
  <conditionalFormatting sqref="AL27 AL29">
    <cfRule type="expression" dxfId="39" priority="44">
      <formula>AL27=" "</formula>
    </cfRule>
  </conditionalFormatting>
  <conditionalFormatting sqref="N31">
    <cfRule type="expression" dxfId="38" priority="40">
      <formula>N31="EXTREMO"</formula>
    </cfRule>
    <cfRule type="expression" dxfId="37" priority="41">
      <formula>N31="MODERADO"</formula>
    </cfRule>
    <cfRule type="expression" dxfId="36" priority="42">
      <formula>N31="ALTO"</formula>
    </cfRule>
    <cfRule type="expression" dxfId="35" priority="43">
      <formula>N31="BAJO"</formula>
    </cfRule>
  </conditionalFormatting>
  <conditionalFormatting sqref="N31">
    <cfRule type="expression" dxfId="34" priority="39">
      <formula>N31=" "</formula>
    </cfRule>
  </conditionalFormatting>
  <conditionalFormatting sqref="AL31">
    <cfRule type="expression" dxfId="33" priority="35">
      <formula>AL31="EXTREMO"</formula>
    </cfRule>
    <cfRule type="expression" dxfId="32" priority="36">
      <formula>AL31="MODERADO"</formula>
    </cfRule>
    <cfRule type="expression" dxfId="31" priority="37">
      <formula>AL31="ALTO"</formula>
    </cfRule>
    <cfRule type="expression" dxfId="30" priority="38">
      <formula>AL31="BAJO"</formula>
    </cfRule>
  </conditionalFormatting>
  <conditionalFormatting sqref="AL31">
    <cfRule type="expression" dxfId="29" priority="34">
      <formula>AL31=" "</formula>
    </cfRule>
  </conditionalFormatting>
  <conditionalFormatting sqref="N35">
    <cfRule type="expression" dxfId="28" priority="30">
      <formula>N35="EXTREMO"</formula>
    </cfRule>
    <cfRule type="expression" dxfId="27" priority="31">
      <formula>N35="MODERADO"</formula>
    </cfRule>
    <cfRule type="expression" dxfId="26" priority="32">
      <formula>N35="ALTO"</formula>
    </cfRule>
    <cfRule type="expression" dxfId="25" priority="33">
      <formula>N35="BAJO"</formula>
    </cfRule>
  </conditionalFormatting>
  <conditionalFormatting sqref="N35">
    <cfRule type="expression" dxfId="24" priority="29">
      <formula>N35=" "</formula>
    </cfRule>
  </conditionalFormatting>
  <conditionalFormatting sqref="AL35">
    <cfRule type="expression" dxfId="23" priority="25">
      <formula>AL35="EXTREMO"</formula>
    </cfRule>
    <cfRule type="expression" dxfId="22" priority="26">
      <formula>AL35="MODERADO"</formula>
    </cfRule>
    <cfRule type="expression" dxfId="21" priority="27">
      <formula>AL35="ALTO"</formula>
    </cfRule>
    <cfRule type="expression" dxfId="20" priority="28">
      <formula>AL35="BAJO"</formula>
    </cfRule>
  </conditionalFormatting>
  <conditionalFormatting sqref="AL35">
    <cfRule type="expression" dxfId="19" priority="24">
      <formula>AL35=" "</formula>
    </cfRule>
  </conditionalFormatting>
  <conditionalFormatting sqref="N39">
    <cfRule type="expression" dxfId="18" priority="20">
      <formula>N39="EXTREMO"</formula>
    </cfRule>
    <cfRule type="expression" dxfId="17" priority="21">
      <formula>N39="MODERADO"</formula>
    </cfRule>
    <cfRule type="expression" dxfId="16" priority="22">
      <formula>N39="ALTO"</formula>
    </cfRule>
    <cfRule type="expression" dxfId="15" priority="23">
      <formula>N39="BAJO"</formula>
    </cfRule>
  </conditionalFormatting>
  <conditionalFormatting sqref="N39">
    <cfRule type="expression" dxfId="14" priority="19">
      <formula>N39=" "</formula>
    </cfRule>
  </conditionalFormatting>
  <conditionalFormatting sqref="AL39">
    <cfRule type="expression" dxfId="13" priority="15">
      <formula>AL39="EXTREMO"</formula>
    </cfRule>
    <cfRule type="expression" dxfId="12" priority="16">
      <formula>AL39="MODERADO"</formula>
    </cfRule>
    <cfRule type="expression" dxfId="11" priority="17">
      <formula>AL39="ALTO"</formula>
    </cfRule>
    <cfRule type="expression" dxfId="10" priority="18">
      <formula>AL39="BAJO"</formula>
    </cfRule>
  </conditionalFormatting>
  <conditionalFormatting sqref="N21">
    <cfRule type="expression" dxfId="9" priority="10">
      <formula>N21="EXTREMO"</formula>
    </cfRule>
    <cfRule type="expression" dxfId="8" priority="11">
      <formula>N21="MODERADO"</formula>
    </cfRule>
    <cfRule type="expression" dxfId="7" priority="12">
      <formula>N21="ALTO"</formula>
    </cfRule>
    <cfRule type="expression" dxfId="6" priority="13">
      <formula>N21="BAJO"</formula>
    </cfRule>
  </conditionalFormatting>
  <conditionalFormatting sqref="N21">
    <cfRule type="expression" dxfId="5" priority="9">
      <formula>N21=" "</formula>
    </cfRule>
  </conditionalFormatting>
  <conditionalFormatting sqref="AL21">
    <cfRule type="expression" dxfId="4" priority="5">
      <formula>AL21="EXTREMO"</formula>
    </cfRule>
    <cfRule type="expression" dxfId="3" priority="6">
      <formula>AL21="MODERADO"</formula>
    </cfRule>
    <cfRule type="expression" dxfId="2" priority="7">
      <formula>AL21="ALTO"</formula>
    </cfRule>
    <cfRule type="expression" dxfId="1" priority="8">
      <formula>AL21="BAJO"</formula>
    </cfRule>
  </conditionalFormatting>
  <conditionalFormatting sqref="AL21">
    <cfRule type="expression" dxfId="0" priority="4">
      <formula>AL21=" "</formula>
    </cfRule>
  </conditionalFormatting>
  <dataValidations xWindow="951" yWindow="691" count="5">
    <dataValidation allowBlank="1" showInputMessage="1" showErrorMessage="1" prompt="En la Guía del DAFP añaden campo de descripción del riesgo. Es la suma de Riesgo + Causas + Consecuencias: Complejiza el asunto" sqref="F5"/>
    <dataValidation allowBlank="1" showInputMessage="1" showErrorMessage="1" prompt="Estructura:_x000a__x000a_Responsable +_x000a_Periodicidad +_x000a_Proposito +_x000a_Cómo se realiza +_x000a_Qué pasa con las desviaciones +_x000a_Evidencia" sqref="O6:O7"/>
    <dataValidation allowBlank="1" showInputMessage="1" showErrorMessage="1" prompt="Se incluyó a partír de la Guía de riesgos borrador del DAFP" sqref="S7"/>
    <dataValidation allowBlank="1" showInputMessage="1" showErrorMessage="1" prompt="1 - Insignificante_x000a_2 - Menor_x000a_3 - Moderado_x000a_4 - Mayor_x000a_5 - Catastrófico" sqref="AJ14:AJ15 AI26:AJ26 AJ27:AJ30"/>
    <dataValidation allowBlank="1" showInputMessage="1" showErrorMessage="1" prompt="1 - Rara vez_x000a_2 - Improbable_x000a_3 - Posible_x000a_4 - Probable_x000a_5 - Casi Seguro" sqref="AI22:AJ22"/>
  </dataValidations>
  <printOptions gridLines="1"/>
  <pageMargins left="0.7" right="0.7" top="0.75" bottom="0.75" header="0.3" footer="0.3"/>
  <pageSetup paperSize="5" scale="35" fitToHeight="0" orientation="landscape" r:id="rId1"/>
  <legacyDrawing r:id="rId2"/>
  <extLst>
    <ext xmlns:x14="http://schemas.microsoft.com/office/spreadsheetml/2009/9/main" uri="{CCE6A557-97BC-4b89-ADB6-D9C93CAAB3DF}">
      <x14:dataValidations xmlns:xm="http://schemas.microsoft.com/office/excel/2006/main" xWindow="951" yWindow="691" count="40">
        <x14:dataValidation type="list" allowBlank="1" showInputMessage="1" showErrorMessage="1">
          <x14:formula1>
            <xm:f>[1]Listas!#REF!</xm:f>
          </x14:formula1>
          <xm:sqref>J8 AM8 AE8 AC8 AA8 Y8 W8 U8 P8:S8</xm:sqref>
        </x14:dataValidation>
        <x14:dataValidation type="whole" allowBlank="1" showInputMessage="1" showErrorMessage="1" prompt="1 - Insignificante_x000a_2 - Menor_x000a_3 - Moderado_x000a_4 - Mayor_x000a_5 - Catastrófico">
          <x14:formula1>
            <xm:f>[1]Listas!#REF!</xm:f>
          </x14:formula1>
          <x14:formula2>
            <xm:f>4</xm:f>
          </x14:formula2>
          <xm:sqref>L8</xm:sqref>
        </x14:dataValidation>
        <x14:dataValidation type="list" allowBlank="1" showInputMessage="1" showErrorMessage="1" prompt="1 - Rara vez_x000a_2 - Improbable_x000a_3 - Posible_x000a_4 - Probable_x000a_5 - Casi Seguro">
          <x14:formula1>
            <xm:f>[1]Listas!#REF!</xm:f>
          </x14:formula1>
          <xm:sqref>AI8 K8</xm:sqref>
        </x14:dataValidation>
        <x14:dataValidation type="list" allowBlank="1" showInputMessage="1" showErrorMessage="1" prompt="1 - Rara vez_x000a_2 - Improbable_x000a_3 - Posible_x000a_4 - Probable_x000a_5 - Casi Seguro">
          <x14:formula1>
            <xm:f>[2]Listas!#REF!</xm:f>
          </x14:formula1>
          <xm:sqref>K9 AI9</xm:sqref>
        </x14:dataValidation>
        <x14:dataValidation type="list" allowBlank="1" showInputMessage="1" showErrorMessage="1" prompt="1 - Insignificante_x000a_2 - Menor_x000a_3 - Moderado_x000a_4 - Mayor_x000a_5 - Catastrófico">
          <x14:formula1>
            <xm:f>[2]Listas!#REF!</xm:f>
          </x14:formula1>
          <xm:sqref>L9</xm:sqref>
        </x14:dataValidation>
        <x14:dataValidation type="list" allowBlank="1" showInputMessage="1" showErrorMessage="1">
          <x14:formula1>
            <xm:f>[2]Listas!#REF!</xm:f>
          </x14:formula1>
          <xm:sqref>J9 AM9 D9:E9 AE9 AC9 AA9 Y9 W9 U9 P9:S9</xm:sqref>
        </x14:dataValidation>
        <x14:dataValidation type="list" allowBlank="1" showInputMessage="1" showErrorMessage="1">
          <x14:formula1>
            <xm:f>[3]Listas!#REF!</xm:f>
          </x14:formula1>
          <xm:sqref>J10 AE10 AC10 AA10 Y10 W10 U10 R10:S10 P10:Q13 AM10:AM13 D10:E13</xm:sqref>
        </x14:dataValidation>
        <x14:dataValidation type="list" allowBlank="1" showInputMessage="1" showErrorMessage="1" prompt="1 - Insignificante_x000a_2 - Menor_x000a_3 - Moderado_x000a_4 - Mayor_x000a_5 - Catastrófico">
          <x14:formula1>
            <xm:f>[3]Listas!#REF!</xm:f>
          </x14:formula1>
          <xm:sqref>AJ10 L10</xm:sqref>
        </x14:dataValidation>
        <x14:dataValidation type="list" allowBlank="1" showInputMessage="1" showErrorMessage="1" prompt="1 - Rara vez_x000a_2 - Improbable_x000a_3 - Posible_x000a_4 - Probable_x000a_5 - Casi Seguro">
          <x14:formula1>
            <xm:f>[3]Listas!#REF!</xm:f>
          </x14:formula1>
          <xm:sqref>AI10 K10</xm:sqref>
        </x14:dataValidation>
        <x14:dataValidation type="list" allowBlank="1" showInputMessage="1" showErrorMessage="1">
          <x14:formula1>
            <xm:f>[4]Listas!#REF!</xm:f>
          </x14:formula1>
          <xm:sqref>J14 AE14 AC14 AA14 Y14 W14 U14 P14:S14 AM14 D14:E15</xm:sqref>
        </x14:dataValidation>
        <x14:dataValidation type="list" allowBlank="1" showInputMessage="1" showErrorMessage="1" prompt="1 - Insignificante_x000a_2 - Menor_x000a_3 - Moderado_x000a_4 - Mayor_x000a_5 - Catastrófico">
          <x14:formula1>
            <xm:f>[4]Listas!#REF!</xm:f>
          </x14:formula1>
          <xm:sqref>L14</xm:sqref>
        </x14:dataValidation>
        <x14:dataValidation type="list" allowBlank="1" showInputMessage="1" showErrorMessage="1" prompt="1 - Rara vez_x000a_2 - Improbable_x000a_3 - Posible_x000a_4 - Probable_x000a_5 - Casi Seguro">
          <x14:formula1>
            <xm:f>[4]Listas!#REF!</xm:f>
          </x14:formula1>
          <xm:sqref>K14 AI14</xm:sqref>
        </x14:dataValidation>
        <x14:dataValidation type="list" allowBlank="1" showInputMessage="1" showErrorMessage="1">
          <x14:formula1>
            <xm:f>[5]Listas!#REF!</xm:f>
          </x14:formula1>
          <xm:sqref>J16 AE16 AC16 AA16 Y16 W16 U16 P16:S16 AM16 D16:E19</xm:sqref>
        </x14:dataValidation>
        <x14:dataValidation type="list" allowBlank="1" showInputMessage="1" showErrorMessage="1" prompt="1 - Insignificante_x000a_2 - Menor_x000a_3 - Moderado_x000a_4 - Mayor_x000a_5 - Catastrófico">
          <x14:formula1>
            <xm:f>[5]Listas!#REF!</xm:f>
          </x14:formula1>
          <xm:sqref>AJ16 L16</xm:sqref>
        </x14:dataValidation>
        <x14:dataValidation type="list" allowBlank="1" showInputMessage="1" showErrorMessage="1" prompt="1 - Rara vez_x000a_2 - Improbable_x000a_3 - Posible_x000a_4 - Probable_x000a_5 - Casi Seguro">
          <x14:formula1>
            <xm:f>[5]Listas!#REF!</xm:f>
          </x14:formula1>
          <xm:sqref>AI16 K16</xm:sqref>
        </x14:dataValidation>
        <x14:dataValidation type="list" allowBlank="1" showInputMessage="1" showErrorMessage="1" prompt="1 - Rara vez_x000a_2 - Improbable_x000a_3 - Posible_x000a_4 - Probable_x000a_5 - Casi Seguro">
          <x14:formula1>
            <xm:f>[6]Listas!#REF!</xm:f>
          </x14:formula1>
          <xm:sqref>AI20 K20</xm:sqref>
        </x14:dataValidation>
        <x14:dataValidation type="list" allowBlank="1" showInputMessage="1" showErrorMessage="1" prompt="1 - Insignificante_x000a_2 - Menor_x000a_3 - Moderado_x000a_4 - Mayor_x000a_5 - Catastrófico">
          <x14:formula1>
            <xm:f>[6]Listas!#REF!</xm:f>
          </x14:formula1>
          <xm:sqref>AJ20 L20</xm:sqref>
        </x14:dataValidation>
        <x14:dataValidation type="list" allowBlank="1" showInputMessage="1" showErrorMessage="1">
          <x14:formula1>
            <xm:f>[6]Listas!#REF!</xm:f>
          </x14:formula1>
          <xm:sqref>AM20 D20:E20 AE20 AC20 AA20 Y20 W20 U20 P20:S20 AM23 J20</xm:sqref>
        </x14:dataValidation>
        <x14:dataValidation type="list" allowBlank="1" showInputMessage="1" showErrorMessage="1">
          <x14:formula1>
            <xm:f>[8]Listas!#REF!</xm:f>
          </x14:formula1>
          <xm:sqref>AM22 J22 D22:E22 AE22 AC22 AA22 Y22 W22 U22 P22:S22</xm:sqref>
        </x14:dataValidation>
        <x14:dataValidation type="list" allowBlank="1" showInputMessage="1" showErrorMessage="1" prompt="1 - Insignificante_x000a_2 - Menor_x000a_3 - Moderado_x000a_4 - Mayor_x000a_5 - Catastrófico">
          <x14:formula1>
            <xm:f>[8]Listas!#REF!</xm:f>
          </x14:formula1>
          <xm:sqref>L22</xm:sqref>
        </x14:dataValidation>
        <x14:dataValidation type="list" allowBlank="1" showInputMessage="1" showErrorMessage="1" prompt="1 - Rara vez_x000a_2 - Improbable_x000a_3 - Posible_x000a_4 - Probable_x000a_5 - Casi Seguro">
          <x14:formula1>
            <xm:f>[8]Listas!#REF!</xm:f>
          </x14:formula1>
          <xm:sqref>K22</xm:sqref>
        </x14:dataValidation>
        <x14:dataValidation type="list" allowBlank="1" showInputMessage="1" showErrorMessage="1" prompt="1 - Rara vez_x000a_2 - Improbable_x000a_3 - Posible_x000a_4 - Probable_x000a_5 - Casi Seguro">
          <x14:formula1>
            <xm:f>[9]Listas!#REF!</xm:f>
          </x14:formula1>
          <xm:sqref>K23 AI23</xm:sqref>
        </x14:dataValidation>
        <x14:dataValidation type="list" allowBlank="1" showInputMessage="1" showErrorMessage="1" prompt="1 - Insignificante_x000a_2 - Menor_x000a_3 - Moderado_x000a_4 - Mayor_x000a_5 - Catastrófico">
          <x14:formula1>
            <xm:f>[9]Listas!#REF!</xm:f>
          </x14:formula1>
          <xm:sqref>L23</xm:sqref>
        </x14:dataValidation>
        <x14:dataValidation type="list" allowBlank="1" showInputMessage="1" showErrorMessage="1">
          <x14:formula1>
            <xm:f>[9]Listas!#REF!</xm:f>
          </x14:formula1>
          <xm:sqref>J23 D23:E23 AE23 AC23 AA23 Y23 W23 U23 P23:S23</xm:sqref>
        </x14:dataValidation>
        <x14:dataValidation type="list" allowBlank="1" showInputMessage="1" showErrorMessage="1" prompt="1 - Rara vez_x000a_2 - Improbable_x000a_3 - Posible_x000a_4 - Probable_x000a_5 - Casi Seguro">
          <x14:formula1>
            <xm:f>[10]Listas!#REF!</xm:f>
          </x14:formula1>
          <xm:sqref>K26 K24 AI24</xm:sqref>
        </x14:dataValidation>
        <x14:dataValidation type="list" allowBlank="1" showInputMessage="1" showErrorMessage="1" prompt="1 - Insignificante_x000a_2 - Menor_x000a_3 - Moderado_x000a_4 - Mayor_x000a_5 - Catastrófico">
          <x14:formula1>
            <xm:f>[10]Listas!#REF!</xm:f>
          </x14:formula1>
          <xm:sqref>L26 L24 AJ24</xm:sqref>
        </x14:dataValidation>
        <x14:dataValidation type="list" allowBlank="1" showInputMessage="1" showErrorMessage="1">
          <x14:formula1>
            <xm:f>[10]Listas!#REF!</xm:f>
          </x14:formula1>
          <xm:sqref>J24 J26 AM24 D24:E26 P24:S26 AE24:AE26 AC24:AC26 AA24:AA26 Y24:Y26 W24:W26 U24:U26</xm:sqref>
        </x14:dataValidation>
        <x14:dataValidation type="list" allowBlank="1" showInputMessage="1" showErrorMessage="1" prompt="1 - Rara vez_x000a_2 - Improbable_x000a_3 - Posible_x000a_4 - Probable_x000a_5 - Casi Seguro">
          <x14:formula1>
            <xm:f>[11]Listas!#REF!</xm:f>
          </x14:formula1>
          <xm:sqref>K27 K29:K30 AI27:AI30</xm:sqref>
        </x14:dataValidation>
        <x14:dataValidation type="list" allowBlank="1" showInputMessage="1" showErrorMessage="1" prompt="1 - Insignificante_x000a_2 - Menor_x000a_3 - Moderado_x000a_4 - Mayor_x000a_5 - Catastrófico">
          <x14:formula1>
            <xm:f>[11]Listas!#REF!</xm:f>
          </x14:formula1>
          <xm:sqref>L27:L30</xm:sqref>
        </x14:dataValidation>
        <x14:dataValidation type="list" allowBlank="1" showInputMessage="1" showErrorMessage="1">
          <x14:formula1>
            <xm:f>[11]Listas!#REF!</xm:f>
          </x14:formula1>
          <xm:sqref>J27 J29:J30 D27:E30 AE27:AE29 AC27:AC29 AA27:AA29 Y27:Y29 W27:W29 U27:U29 P27:S29 AM27:AM30</xm:sqref>
        </x14:dataValidation>
        <x14:dataValidation type="list" allowBlank="1" showInputMessage="1" showErrorMessage="1" prompt="1 - Rara vez_x000a_2 - Improbable_x000a_3 - Posible_x000a_4 - Probable_x000a_5 - Casi Seguro">
          <x14:formula1>
            <xm:f>[12]Listas!#REF!</xm:f>
          </x14:formula1>
          <xm:sqref>K31:K34 AI31:AI34</xm:sqref>
        </x14:dataValidation>
        <x14:dataValidation type="list" allowBlank="1" showInputMessage="1" showErrorMessage="1" prompt="1 - Insignificante_x000a_2 - Menor_x000a_3 - Moderado_x000a_4 - Mayor_x000a_5 - Catastrófico">
          <x14:formula1>
            <xm:f>[12]Listas!#REF!</xm:f>
          </x14:formula1>
          <xm:sqref>L31:L34 AJ31:AJ34</xm:sqref>
        </x14:dataValidation>
        <x14:dataValidation type="list" allowBlank="1" showInputMessage="1" showErrorMessage="1">
          <x14:formula1>
            <xm:f>[12]Listas!#REF!</xm:f>
          </x14:formula1>
          <xm:sqref>AM31:AM34 J31:J34 D31:E34 AE31:AE34 AC31:AC34 AA31:AA34 Y31:Y34 W31:W34 U31:U34 P31:S34</xm:sqref>
        </x14:dataValidation>
        <x14:dataValidation type="list" allowBlank="1" showInputMessage="1" showErrorMessage="1">
          <x14:formula1>
            <xm:f>[13]Listas!#REF!</xm:f>
          </x14:formula1>
          <xm:sqref>D35:D37 J35 P35:S37 AE35:AE37 AC35:AC37 AA35:AA37 Y35:Y37 W35:W37 U35:U37 AM35</xm:sqref>
        </x14:dataValidation>
        <x14:dataValidation type="list" allowBlank="1" showInputMessage="1" showErrorMessage="1" prompt="1 - Insignificante_x000a_2 - Menor_x000a_3 - Moderado_x000a_4 - Mayor_x000a_5 - Catastrófico">
          <x14:formula1>
            <xm:f>[13]Listas!#REF!</xm:f>
          </x14:formula1>
          <xm:sqref>L35</xm:sqref>
        </x14:dataValidation>
        <x14:dataValidation type="list" allowBlank="1" showInputMessage="1" showErrorMessage="1" prompt="1 - Rara vez_x000a_2 - Improbable_x000a_3 - Posible_x000a_4 - Probable_x000a_5 - Casi Seguro">
          <x14:formula1>
            <xm:f>[13]Listas!#REF!</xm:f>
          </x14:formula1>
          <xm:sqref>K35</xm:sqref>
        </x14:dataValidation>
        <x14:dataValidation type="list" allowBlank="1" showInputMessage="1" showErrorMessage="1">
          <x14:formula1>
            <xm:f>[14]Listas!#REF!</xm:f>
          </x14:formula1>
          <xm:sqref>P39:S39 J39 D39:E39 AE39 AC39 AA39 Y39 W39 U39</xm:sqref>
        </x14:dataValidation>
        <x14:dataValidation type="list" allowBlank="1" showInputMessage="1" showErrorMessage="1" prompt="1 - Rara vez_x000a_2 - Improbable_x000a_3 - Posible_x000a_4 - Probable_x000a_5 - Casi Seguro">
          <x14:formula1>
            <xm:f>[7]Listas!#REF!</xm:f>
          </x14:formula1>
          <xm:sqref>K21 AI21</xm:sqref>
        </x14:dataValidation>
        <x14:dataValidation type="list" allowBlank="1" showInputMessage="1" showErrorMessage="1" prompt="1 - Insignificante_x000a_2 - Menor_x000a_3 - Moderado_x000a_4 - Mayor_x000a_5 - Catastrófico">
          <x14:formula1>
            <xm:f>[7]Listas!#REF!</xm:f>
          </x14:formula1>
          <xm:sqref>L21</xm:sqref>
        </x14:dataValidation>
        <x14:dataValidation type="list" allowBlank="1" showInputMessage="1" showErrorMessage="1">
          <x14:formula1>
            <xm:f>[7]Listas!#REF!</xm:f>
          </x14:formula1>
          <xm:sqref>U21 W21 Y21 AA21 AC21 AE21 AM21 J21 D21 P21:S21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CABREJO RODRÍGUEZ</dc:creator>
  <cp:lastModifiedBy>JAIME CABREJO RODRÍGUEZ</cp:lastModifiedBy>
  <cp:lastPrinted>2020-01-31T15:06:52Z</cp:lastPrinted>
  <dcterms:created xsi:type="dcterms:W3CDTF">2020-01-24T19:19:13Z</dcterms:created>
  <dcterms:modified xsi:type="dcterms:W3CDTF">2020-01-31T15:29:42Z</dcterms:modified>
</cp:coreProperties>
</file>