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LAGUIRRE\Documents\PLANEACIÓN INSTITUCIONAL\2021\Participac ciudadana en la pl\Docs publicados en la Red\"/>
    </mc:Choice>
  </mc:AlternateContent>
  <bookViews>
    <workbookView xWindow="-120" yWindow="-120" windowWidth="19440" windowHeight="11160" tabRatio="840"/>
  </bookViews>
  <sheets>
    <sheet name="Mapa de Riesgo_Proceso" sheetId="14" r:id="rId1"/>
    <sheet name="M1. Cal_Probab_Impac_Gestion" sheetId="11" r:id="rId2"/>
    <sheet name="M2.Cal_Prob_Impacto_Corrupc" sheetId="12" r:id="rId3"/>
    <sheet name="M3. Cal_Probab_Impac_Seguri" sheetId="20" r:id="rId4"/>
    <sheet name="Listas" sheetId="1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Print_Titles" localSheetId="0">'Mapa de Riesgo_Proceso'!$1:$10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9" i="14" l="1"/>
  <c r="N39" i="14"/>
  <c r="AF37" i="14" l="1"/>
  <c r="AD37" i="14"/>
  <c r="AB37" i="14"/>
  <c r="Z37" i="14"/>
  <c r="X37" i="14"/>
  <c r="V37" i="14"/>
  <c r="T37" i="14"/>
  <c r="AF36" i="14"/>
  <c r="AD36" i="14"/>
  <c r="AB36" i="14"/>
  <c r="Z36" i="14"/>
  <c r="X36" i="14"/>
  <c r="V36" i="14"/>
  <c r="T36" i="14"/>
  <c r="AM35" i="14"/>
  <c r="AL35" i="14"/>
  <c r="AF35" i="14"/>
  <c r="AD35" i="14"/>
  <c r="AB35" i="14"/>
  <c r="Z35" i="14"/>
  <c r="X35" i="14"/>
  <c r="V35" i="14"/>
  <c r="T35" i="14"/>
  <c r="N35" i="14"/>
  <c r="M35" i="14"/>
  <c r="AG37" i="14" l="1"/>
  <c r="AG35" i="14"/>
  <c r="AG36" i="14"/>
  <c r="AM33" i="14"/>
  <c r="AL33" i="14"/>
  <c r="AF33" i="14"/>
  <c r="AD33" i="14"/>
  <c r="AB33" i="14"/>
  <c r="Z33" i="14"/>
  <c r="X33" i="14"/>
  <c r="V33" i="14"/>
  <c r="T33" i="14"/>
  <c r="N33" i="14"/>
  <c r="M33" i="14"/>
  <c r="AF32" i="14"/>
  <c r="AD32" i="14"/>
  <c r="AB32" i="14"/>
  <c r="Z32" i="14"/>
  <c r="X32" i="14"/>
  <c r="V32" i="14"/>
  <c r="T32" i="14"/>
  <c r="AM31" i="14"/>
  <c r="AL31" i="14"/>
  <c r="AF31" i="14"/>
  <c r="AD31" i="14"/>
  <c r="AB31" i="14"/>
  <c r="Z31" i="14"/>
  <c r="X31" i="14"/>
  <c r="V31" i="14"/>
  <c r="T31" i="14"/>
  <c r="N31" i="14"/>
  <c r="M31" i="14"/>
  <c r="AG31" i="14" l="1"/>
  <c r="AG32" i="14"/>
  <c r="AG33" i="14"/>
  <c r="AH33" i="14" s="1"/>
  <c r="AH35" i="14"/>
  <c r="AM30" i="14"/>
  <c r="AF30" i="14"/>
  <c r="AD30" i="14"/>
  <c r="AB30" i="14"/>
  <c r="Z30" i="14"/>
  <c r="X30" i="14"/>
  <c r="V30" i="14"/>
  <c r="T30" i="14"/>
  <c r="N30" i="14"/>
  <c r="M30" i="14"/>
  <c r="AM29" i="14"/>
  <c r="AL29" i="14"/>
  <c r="AF29" i="14"/>
  <c r="AD29" i="14"/>
  <c r="AB29" i="14"/>
  <c r="Z29" i="14"/>
  <c r="X29" i="14"/>
  <c r="V29" i="14"/>
  <c r="T29" i="14"/>
  <c r="N29" i="14"/>
  <c r="M29" i="14"/>
  <c r="AH31" i="14" l="1"/>
  <c r="AG29" i="14"/>
  <c r="AH29" i="14" s="1"/>
  <c r="AG30" i="14"/>
  <c r="AH30" i="14" s="1"/>
  <c r="AM28" i="14"/>
  <c r="AL28" i="14"/>
  <c r="AF28" i="14"/>
  <c r="AD28" i="14"/>
  <c r="AB28" i="14"/>
  <c r="Z28" i="14"/>
  <c r="X28" i="14"/>
  <c r="V28" i="14"/>
  <c r="T28" i="14"/>
  <c r="N28" i="14"/>
  <c r="M28" i="14"/>
  <c r="AG28" i="14" l="1"/>
  <c r="AH28" i="14" s="1"/>
  <c r="AM27" i="14"/>
  <c r="AL27" i="14"/>
  <c r="AF27" i="14"/>
  <c r="AD27" i="14"/>
  <c r="AB27" i="14"/>
  <c r="Z27" i="14"/>
  <c r="X27" i="14"/>
  <c r="V27" i="14"/>
  <c r="T27" i="14"/>
  <c r="N27" i="14"/>
  <c r="M27" i="14"/>
  <c r="AM26" i="14"/>
  <c r="AL26" i="14"/>
  <c r="AF26" i="14"/>
  <c r="AD26" i="14"/>
  <c r="AB26" i="14"/>
  <c r="Z26" i="14"/>
  <c r="X26" i="14"/>
  <c r="V26" i="14"/>
  <c r="T26" i="14"/>
  <c r="N26" i="14"/>
  <c r="M26" i="14"/>
  <c r="AG27" i="14" l="1"/>
  <c r="AH27" i="14" s="1"/>
  <c r="AG26" i="14"/>
  <c r="AH26" i="14" s="1"/>
  <c r="AM22" i="14"/>
  <c r="AL22" i="14"/>
  <c r="AF22" i="14"/>
  <c r="AD22" i="14"/>
  <c r="AB22" i="14"/>
  <c r="Z22" i="14"/>
  <c r="X22" i="14"/>
  <c r="V22" i="14"/>
  <c r="T22" i="14"/>
  <c r="N22" i="14"/>
  <c r="M22" i="14"/>
  <c r="AG22" i="14" l="1"/>
  <c r="AH22" i="14" s="1"/>
  <c r="AM20" i="14"/>
  <c r="AL20" i="14"/>
  <c r="AF20" i="14"/>
  <c r="AD20" i="14"/>
  <c r="AB20" i="14"/>
  <c r="Z20" i="14"/>
  <c r="X20" i="14"/>
  <c r="V20" i="14"/>
  <c r="T20" i="14"/>
  <c r="N20" i="14"/>
  <c r="M20" i="14"/>
  <c r="AG20" i="14" l="1"/>
  <c r="AH20" i="14" s="1"/>
  <c r="AM16" i="14"/>
  <c r="AL16" i="14"/>
  <c r="AF16" i="14"/>
  <c r="AD16" i="14"/>
  <c r="AB16" i="14"/>
  <c r="Z16" i="14"/>
  <c r="X16" i="14"/>
  <c r="V16" i="14"/>
  <c r="T16" i="14"/>
  <c r="N16" i="14"/>
  <c r="M16" i="14"/>
  <c r="AM15" i="14"/>
  <c r="AL15" i="14"/>
  <c r="AF15" i="14"/>
  <c r="AD15" i="14"/>
  <c r="AB15" i="14"/>
  <c r="Z15" i="14"/>
  <c r="X15" i="14"/>
  <c r="V15" i="14"/>
  <c r="T15" i="14"/>
  <c r="N15" i="14"/>
  <c r="M15" i="14"/>
  <c r="AM12" i="14"/>
  <c r="AL12" i="14"/>
  <c r="AF12" i="14"/>
  <c r="AD12" i="14"/>
  <c r="AB12" i="14"/>
  <c r="Z12" i="14"/>
  <c r="X12" i="14"/>
  <c r="V12" i="14"/>
  <c r="T12" i="14"/>
  <c r="N12" i="14"/>
  <c r="M12" i="14"/>
  <c r="AG12" i="14" l="1"/>
  <c r="AH12" i="14" s="1"/>
  <c r="AG15" i="14"/>
  <c r="AH15" i="14" s="1"/>
  <c r="AG16" i="14"/>
  <c r="AH16" i="14" s="1"/>
  <c r="M11" i="14"/>
  <c r="Z11" i="14" l="1"/>
  <c r="AF11" i="14"/>
  <c r="AD11" i="14"/>
  <c r="AB11" i="14"/>
  <c r="X11" i="14"/>
  <c r="V11" i="14"/>
  <c r="T11" i="14"/>
  <c r="AG11" i="14" l="1"/>
  <c r="AH11" i="14" s="1"/>
  <c r="AM11" i="14"/>
  <c r="N11" i="14"/>
  <c r="AL11" i="14" l="1"/>
</calcChain>
</file>

<file path=xl/comments1.xml><?xml version="1.0" encoding="utf-8"?>
<comments xmlns="http://schemas.openxmlformats.org/spreadsheetml/2006/main">
  <authors>
    <author>Carolina Ramos</author>
    <author>Carmen Catalina Arango Barbaran</author>
  </authors>
  <commentList>
    <comment ref="D9"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P9" authorId="1" shapeId="0">
      <text>
        <r>
          <rPr>
            <b/>
            <sz val="9"/>
            <color indexed="81"/>
            <rFont val="Tahoma"/>
            <family val="2"/>
          </rPr>
          <t xml:space="preserve">Determine si el tipo de control de detectivo o preventivo
 </t>
        </r>
      </text>
    </comment>
    <comment ref="AJ9" authorId="1" shapeId="0">
      <text>
        <r>
          <rPr>
            <b/>
            <sz val="9"/>
            <color indexed="81"/>
            <rFont val="Tahoma"/>
            <family val="2"/>
          </rPr>
          <t xml:space="preserve">Analice nuevamente el nivel de probabilidad del riesgo tomando en cuenta los controles descritos. </t>
        </r>
      </text>
    </comment>
    <comment ref="AK9"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<sst xmlns="http://schemas.openxmlformats.org/spreadsheetml/2006/main" count="810" uniqueCount="407">
  <si>
    <t xml:space="preserve">Preventivo </t>
  </si>
  <si>
    <t>SI</t>
  </si>
  <si>
    <t>NO</t>
  </si>
  <si>
    <t xml:space="preserve">ANALISIS DE RIESGO RESIDUAL </t>
  </si>
  <si>
    <t xml:space="preserve">Operativo </t>
  </si>
  <si>
    <t xml:space="preserve">Financiero </t>
  </si>
  <si>
    <t>Proceso</t>
  </si>
  <si>
    <t xml:space="preserve">Riesgo Inherente </t>
  </si>
  <si>
    <t>Descripción del Control</t>
  </si>
  <si>
    <t xml:space="preserve">Tipo de Control </t>
  </si>
  <si>
    <t xml:space="preserve">Riesgo Residual </t>
  </si>
  <si>
    <t xml:space="preserve">Opciones de manejo </t>
  </si>
  <si>
    <t>Riesgo</t>
  </si>
  <si>
    <t>Periodicidad</t>
  </si>
  <si>
    <t>CONTEXTO ESTRATÉGICO</t>
  </si>
  <si>
    <t>IDENTIFICACIÓN DEL RIESGO</t>
  </si>
  <si>
    <t>VALORACIÓN DEL RIESGO</t>
  </si>
  <si>
    <t>Tecnológicos</t>
  </si>
  <si>
    <t xml:space="preserve">Corrupción </t>
  </si>
  <si>
    <t>Tipo de Riesgo</t>
  </si>
  <si>
    <t xml:space="preserve">Probabilidad </t>
  </si>
  <si>
    <t>Impacto</t>
  </si>
  <si>
    <t xml:space="preserve">Valoración del Control </t>
  </si>
  <si>
    <t>Formalidad</t>
  </si>
  <si>
    <t xml:space="preserve">Aplicación </t>
  </si>
  <si>
    <t xml:space="preserve">Siempre </t>
  </si>
  <si>
    <t>A discreción</t>
  </si>
  <si>
    <t>Nunca</t>
  </si>
  <si>
    <t>Efectividad</t>
  </si>
  <si>
    <t>Responsable</t>
  </si>
  <si>
    <t xml:space="preserve">Calificación del Control </t>
  </si>
  <si>
    <t xml:space="preserve">valor </t>
  </si>
  <si>
    <t>Semanal</t>
  </si>
  <si>
    <t>Quincenal</t>
  </si>
  <si>
    <t>Mensual</t>
  </si>
  <si>
    <t>Bimestral</t>
  </si>
  <si>
    <t>Trimestral</t>
  </si>
  <si>
    <t xml:space="preserve">Anual </t>
  </si>
  <si>
    <t>Cada vez que se requiera</t>
  </si>
  <si>
    <t xml:space="preserve">Total Calificación del Control </t>
  </si>
  <si>
    <t>Opciones de Manejo</t>
  </si>
  <si>
    <t>Evitarlo</t>
  </si>
  <si>
    <t>Reducirlo</t>
  </si>
  <si>
    <t>Compartirlo o Transferirlo</t>
  </si>
  <si>
    <t xml:space="preserve">Asumirlo </t>
  </si>
  <si>
    <t xml:space="preserve">Tipo de riesgo </t>
  </si>
  <si>
    <t xml:space="preserve">Factores </t>
  </si>
  <si>
    <t>Internos</t>
  </si>
  <si>
    <t>Externos</t>
  </si>
  <si>
    <t>Factores de Riesgo</t>
  </si>
  <si>
    <t>Externo</t>
  </si>
  <si>
    <t>Interno</t>
  </si>
  <si>
    <t>No de Riesgo</t>
  </si>
  <si>
    <t xml:space="preserve">Probabilidad 
Residual </t>
  </si>
  <si>
    <t>Impacto 
Residual</t>
  </si>
  <si>
    <t>Procesos</t>
  </si>
  <si>
    <t>Estratégicos</t>
  </si>
  <si>
    <t>Personal</t>
  </si>
  <si>
    <t>Tecnología</t>
  </si>
  <si>
    <t>Comunicación Interna</t>
  </si>
  <si>
    <t>Si</t>
  </si>
  <si>
    <t>No</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</si>
  <si>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</si>
  <si>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</si>
  <si>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</si>
  <si>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</si>
  <si>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</si>
  <si>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</si>
  <si>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</si>
  <si>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</si>
  <si>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</si>
  <si>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</si>
  <si>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</si>
  <si>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</si>
  <si>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</si>
  <si>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</si>
  <si>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</si>
  <si>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</si>
  <si>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</si>
  <si>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</si>
  <si>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</si>
  <si>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</si>
  <si>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</si>
  <si>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</si>
  <si>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Moderado</t>
  </si>
  <si>
    <t>Promedio</t>
  </si>
  <si>
    <t>PREGUNTA:
Si el riesgo de corrupción se materializa podría …</t>
  </si>
  <si>
    <t>Respuesta</t>
  </si>
  <si>
    <t>El control mitiga la probabilidad</t>
  </si>
  <si>
    <t>El control mitiga el impacto</t>
  </si>
  <si>
    <t>El control mitiga la probabilidad y el impacto</t>
  </si>
  <si>
    <t>Descripción del riesgo</t>
  </si>
  <si>
    <t>Acción u omisión</t>
  </si>
  <si>
    <t>Uso del Poder</t>
  </si>
  <si>
    <t>Desviar la gestión de lo público</t>
  </si>
  <si>
    <t>Beneficio privado</t>
  </si>
  <si>
    <t>Cumplimiento</t>
  </si>
  <si>
    <t>Imagen o reputacional</t>
  </si>
  <si>
    <t>Ambiental</t>
  </si>
  <si>
    <t>Seguridad y Salud en el Trabajo</t>
  </si>
  <si>
    <t>Detectivo</t>
  </si>
  <si>
    <t>Soporte</t>
  </si>
  <si>
    <t>Tiempo</t>
  </si>
  <si>
    <t>Indicador</t>
  </si>
  <si>
    <t>Económicos</t>
  </si>
  <si>
    <t>Políticos</t>
  </si>
  <si>
    <t xml:space="preserve">Sociales </t>
  </si>
  <si>
    <t>Medio Ambientales</t>
  </si>
  <si>
    <t>Financiero</t>
  </si>
  <si>
    <t>Opción de tratamiento</t>
  </si>
  <si>
    <t>Evitar</t>
  </si>
  <si>
    <t>Reducir</t>
  </si>
  <si>
    <t>Compartir</t>
  </si>
  <si>
    <t>Asumir</t>
  </si>
  <si>
    <t>PLAN DE TRATAMIENTO</t>
  </si>
  <si>
    <t>Causas / Vulnerabilidades</t>
  </si>
  <si>
    <t xml:space="preserve">Debilidad / Amenaza </t>
  </si>
  <si>
    <t>PROCESO: GESTIÓN DE MEJORA CONTINUA</t>
  </si>
  <si>
    <t>MAPA DE RIEGOS</t>
  </si>
  <si>
    <t>CÓDIGO: GMC-FO-003</t>
  </si>
  <si>
    <t xml:space="preserve">Nivel </t>
  </si>
  <si>
    <t>Descriptor</t>
  </si>
  <si>
    <t>Casi seguro</t>
  </si>
  <si>
    <t>Probable</t>
  </si>
  <si>
    <t>Posible</t>
  </si>
  <si>
    <t>Improbable</t>
  </si>
  <si>
    <t>Frecuencia</t>
  </si>
  <si>
    <t>Rara vez</t>
  </si>
  <si>
    <t>CALIFICACIÓN DEL RIESGO INHERENTE</t>
  </si>
  <si>
    <t>Actividad</t>
  </si>
  <si>
    <t>Seguridad de la Información</t>
  </si>
  <si>
    <t>No. de Riesgo</t>
  </si>
  <si>
    <t>No. De Riesgo</t>
  </si>
  <si>
    <t xml:space="preserve">No. De Riesgo: </t>
  </si>
  <si>
    <t>Gestión Direccionamiento Estratégico</t>
  </si>
  <si>
    <t>Comunicaciones e Información</t>
  </si>
  <si>
    <t>Gestión Mejora Continua Sistema Integrado de Gestión</t>
  </si>
  <si>
    <t>Gestión Normativa</t>
  </si>
  <si>
    <t>Atención al Ciudadano</t>
  </si>
  <si>
    <t>Talento Humano</t>
  </si>
  <si>
    <t>Gestión Jurídica</t>
  </si>
  <si>
    <t>Anales y Publicaciones y Relatoría</t>
  </si>
  <si>
    <t>Gestión de Recursos Físicos</t>
  </si>
  <si>
    <t>Sistemas y Seguridad de la Información</t>
  </si>
  <si>
    <t>Gestión Documental</t>
  </si>
  <si>
    <t>Asignado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</si>
  <si>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</si>
  <si>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</si>
  <si>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</si>
  <si>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</si>
  <si>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en la Entidad, afectando su reputación?</t>
  </si>
  <si>
    <t>¿Genera pérdida de recursos económicos?</t>
  </si>
  <si>
    <t>¿Afecta la generación de los productos o la prestación de servicios?</t>
  </si>
  <si>
    <t>¿Da lugar al detrimento de calidad de vida de la comunidad por la pérdida del bien o servicios o los recursos públicos?</t>
  </si>
  <si>
    <t>¿Genera pérdida de la información de la Entidad?</t>
  </si>
  <si>
    <t>¿Genera intervención de órganos de control, de la Fiscalía, u otro ente?</t>
  </si>
  <si>
    <t>¿Da lugar a procesos sancionatorios?</t>
  </si>
  <si>
    <t>¿Da lugar a  procesos disciplinarios?</t>
  </si>
  <si>
    <t>¿Da lugar a procesos fiscales?</t>
  </si>
  <si>
    <t>¿Da lugar a procesos penales?</t>
  </si>
  <si>
    <t>¿Genera pérdida de credibilidad del sector?</t>
  </si>
  <si>
    <t>¿Ocasiona lesiones físicas o pérdida de vidas humanas?</t>
  </si>
  <si>
    <t>¿Genera daño ambiental?</t>
  </si>
  <si>
    <t>Nivel Impacto</t>
  </si>
  <si>
    <t>Mayor</t>
  </si>
  <si>
    <t>Catastrofico</t>
  </si>
  <si>
    <t>Número de preguntas afirmativas</t>
  </si>
  <si>
    <t>De una a cinco</t>
  </si>
  <si>
    <t>De seis a once</t>
  </si>
  <si>
    <t>De doce a dieciocho</t>
  </si>
  <si>
    <t>Criterios parar calificar el impacto de Riesgos de Gestión</t>
  </si>
  <si>
    <t>Catastrófico</t>
  </si>
  <si>
    <t>Menor</t>
  </si>
  <si>
    <t>Insignificante</t>
  </si>
  <si>
    <t>Impacto Cuantitativo</t>
  </si>
  <si>
    <t>Impacto Cualitativo</t>
  </si>
  <si>
    <t>Criterios parar calificar la probabilidad de Riesgos de Corrupción</t>
  </si>
  <si>
    <t>Criterios parar calificar el impacto de Riesgos de Corrupción</t>
  </si>
  <si>
    <t xml:space="preserve">Criterios parar calificar la probabilidad de Riesgos de Gestión </t>
  </si>
  <si>
    <t>* No hay interrupción de las operaciones de la
entidad.
- No se generan sanciones económicas o administrativas.
- No se afecta la imagen institucional de forma
significativa.</t>
  </si>
  <si>
    <t>Legales y reglamentarios</t>
  </si>
  <si>
    <t>Estratégico / Gerenciales</t>
  </si>
  <si>
    <t>¿Afecta la imagen a nivel regional?</t>
  </si>
  <si>
    <t>¿Afecta la imagen a nivel nacional?</t>
  </si>
  <si>
    <t>Gestión Financiera</t>
  </si>
  <si>
    <t>Evaluación Independiente</t>
  </si>
  <si>
    <t>Consecuencia(s)</t>
  </si>
  <si>
    <t>Directamente</t>
  </si>
  <si>
    <t>Indirectamente</t>
  </si>
  <si>
    <t>No disminuye</t>
  </si>
  <si>
    <t>*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</si>
  <si>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</si>
  <si>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</si>
  <si>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</si>
  <si>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 xml:space="preserve">Se espera que el evento ocurra en la mayoría de las circunstancias. </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</si>
  <si>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</si>
  <si>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</si>
  <si>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</si>
  <si>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</si>
  <si>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 Impacto que afecte la ejecución presupuestal en un valor superior al 50%.
* Pérdida de cobertura en la prestación de los servicios de la entidad superior al 50%.
* Pago de indemnizaciones a terceros por acciones legales que pueden afectar el presupuesto total de la entidad en un valor superior al 50%.
* Pago de sanciones económicas por incumplimiento en la normatividad aplicable ante un ente regulador, las cuales afectan
en un valor ≥50% del presupuesto general
de la entidad.</t>
  </si>
  <si>
    <t>*Impacto que afecte la ejecución presupuestal en un valor entre el 20% al 50%.
- Pérdida de cobertura en la prestación de los servicios de la entidad entre el 20% al 50%.
- Pago de indemnizaciones a terceros por acciones legales que pueden afectar el presupuesto total de la entidad en un valor entre el 20% al 50%.
- Pago de sanciones económicas por incumplimiento en la normatividad aplicable ante un ente regulador, las cuales afectan en un valor entre el 20% al 50% del presupuesto general de la entidad.</t>
  </si>
  <si>
    <t>* Impacto que afecte la ejecución presupuestal en un valor entre el 5% al 19,9%
- Pérdida de cobertura en la prestación de los servicios de la entidad entre el 10% y hasta el 19,9%.
- Pago de indemnizaciones a terceros por acciones legales que pueden afectar el presupuesto total de la entidad en un valor entre el 5% y hasta el 19,9%.
- Pago de sanciones económicas por incumplimiento en la normatividad aplicable ante un ente regulador, las cuales afectan en un valor entre el 5% y hasta el 19,9% del presupuesto general de la entidad.</t>
  </si>
  <si>
    <t>* Impacto que afecte la ejecución presupuestal en un valor menor al 1%.
- Pérdida de cobertura en la prestación de los servicios de la entidad  menor al 1%.
- Pago de indemnizaciones a terceros por acciones legales que pueden afectar el presupuesto total de la entidad en un valor menor al 1%.
- Pago de sanciones económicas por incumplimiento en la normatividad aplicable ante un ente regulador, las cuales afectan en un valor  menor al 1% del presupuesto general de la entidad.</t>
  </si>
  <si>
    <t>* Impacto que afecte la ejecución presupuestal en un valor entre el 1% hasta el 4,9%.
- Pérdida de cobertura en la prestación de los servicios de la entidad en un valor entre el 1% hasta el 4,9%.
- Pago de indemnizaciones a terceros por acciones legales que pueden afectar el presupuesto total de la entidad en un valor en un valor entre el 1% hasta el 4,9%.
- Pago de sanciones económicas por incumplimiento en la normatividad aplicable ante un ente regulador, las cuales afectan en un valor entre el 1% hasta el 4,9%. del presupuesto general de la entidad.</t>
  </si>
  <si>
    <t>Activo 
(Aplica para los riesgos de Seguridad de la Información)</t>
  </si>
  <si>
    <t>* No hay interrupción de los servicios TIC  de la
entidad.
*No se afecta la imagen institucional de forma
significativa.
*Sin afectación de la integridad.
*Sin afectación de la disponibilidad.
*Sin afectación de la confidencialidad</t>
  </si>
  <si>
    <t>*Afectación ≥1% de la población.
*Afectación ≥1% del presupuesto anual de la entidad.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 del presupuesto general de la entidad.</t>
  </si>
  <si>
    <t xml:space="preserve">*Afectación leve de la integridad de la información y sus activos. 
*Afectación leve de la disponibilidad de la información y sus activos. 
*Afectación leve de la confidencialidad y sus activos. 
*Fuga o divulgación no autorizada de la información, que afecta levemente la imagen de la Entidad. 
*Pérdida leve de la exactitud y estado completo de la información o del servicio, que afecta de forma específica a un procesos.
*Indisponibilidad leve de la información, servicio o infraestructura informática que afecta de forma específica a un proceso
*Interrupción de los servicios TIC  de la entidad
por algunas horas.
</t>
  </si>
  <si>
    <t>*Afectación moderada de la integridad de la
información debido al interés particular de
los empleados y terceros.
*Afectación moderada de la disponibilidad de
la información debido al interés particular
de los empleados y terceros.
*Afectación moderada de la confidencialidad
de la información debido al interés particular de los empleados y terceros
*Pérdida parcial de la exactitud y estado completo de la información o del servicio, afectando uno o más procesos
Indisponibilidad parcial de la información, servicio o infraestructura informática, afectando uno o más procesos
*Interrupción de los servicitos TIC de la entidad 
por un (1) día.</t>
  </si>
  <si>
    <t>* Interrupción de los servicios TIC de la entidad por más de dos (2) días.
*Afectación grave de la integridad de la información debido al interés particular de los empleados y terceros.
*Afectación grave de la disponibilidad de la información debido al interés particular de los empleados y terceros.
*Afectación grave de la confidencialidad de la información debido al interés particular de los empleados y terceros
*Fuga o divulgación no autorizada de la información considerada como confidencial, que afecta gravemente la imagen de la Entidad.
*Pérdida total de la exactitud y estado completo de la información o del servicio, afectando a toda la Entidad
*Incumplimiento en las metas y objetivos de seguridad de la información  institucionales afectando el cumplimiento en las metas de gobierno.
*Imagen institucional afectada en el orden nacional o regional por incumplimientos en la prestación del servicio  a los usuarios o ciudadanos</t>
  </si>
  <si>
    <t>*Afectación ≥50% de la población.
*Afectación ≥50% del presupuesto
anual de la entidad.
*requiere de ≥1 mes  de recuperación.
*Pérdida de cobertura en la prestación de
los servicios de la entidad ≥50%.
*Pago de sanciones económicas por incumplimiento en la normatividad aplicable
ante un ente regulador, las cuales afectan
en un valor ≥50% del presupuesto general
de la entidad.</t>
  </si>
  <si>
    <t xml:space="preserve">ANALISIS Y VALORACIÓN DE RIESGOS DE SEGURIDAD DE LA INFORMACIÓN </t>
  </si>
  <si>
    <t xml:space="preserve">*Afectación muy grave de la integridad de la información debido al interés particular de los empleados y terceros.
*Afectación muy grave de la disponibilidad de la información debido al interés particular de los empleados y terceros.
*Afectación muy grave de la confidencialidad de la información debido al interés particular de los empleados y terceros.
* Interrupción de los servicios TIC  criticos de la entidad por más de cinco (5) días.
*Incumplimiento en las metas y objetivos de seguridad de la información institucionales afectando de forma grave la ejecución presupuestal.
*Imagen institucional afectada en el orden nacional o regional por incumplimientos en la prestación del servicio a los usuarios o ciudadanos y por la afectación a la seguridad de la información. </t>
  </si>
  <si>
    <t>*Afectación ≥20% de la población.
*Afectación  ≥20% del presupuesto
anual de la entidad. 
+ Requiere de  ≥ 2 dias de de recuperación.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</si>
  <si>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*Afectación ≥10% de la población.
*Afectación ≥10% del presupuesto anual de la entidad.
* Requiere  de 1 un  dia de recuperación.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</si>
  <si>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*Afectación ≥5% de la población.
*Afectación ≥5% del presupuesto
anual de la entidad.
*Requiere de medio día de recuperación.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t>
  </si>
  <si>
    <t>Transferir</t>
  </si>
  <si>
    <t>Nota 2: En el caso que los controles tengan una calificación débil no se realiza desplazamiento en la matriz</t>
  </si>
  <si>
    <t xml:space="preserve">Nota 1: Para el desplazamiento de la probabilidad y el impacto se tendrá en cuenta el control que más contribuya a la disminución de estos. </t>
  </si>
  <si>
    <t xml:space="preserve">Elecciones de Servidores Públicos Distritales </t>
  </si>
  <si>
    <t>Control Político</t>
  </si>
  <si>
    <t>VERSIÓN: 04</t>
  </si>
  <si>
    <t xml:space="preserve">Mas de 1 vez al año </t>
  </si>
  <si>
    <t>Al menos 1 vez en el último año</t>
  </si>
  <si>
    <t xml:space="preserve">Al menos 1 vez en los últimos 5 años </t>
  </si>
  <si>
    <t xml:space="preserve">No se ha presentado en los últimos 5 años </t>
  </si>
  <si>
    <t>Descripción</t>
  </si>
  <si>
    <t>Al menos 1 vez en los últimos 2 años</t>
  </si>
  <si>
    <t>VIGENCIA: 23-Jul-2020</t>
  </si>
  <si>
    <t xml:space="preserve">Intención de un tercero de utilizar el prestigio  de la Corporación, a través de la Oficina Asesora de Comunicaciones, para favorecer sus intereses personales.
Alta exposición y fàcil acceso a la Corporación de los actores externos. </t>
  </si>
  <si>
    <t>Manejo inadecuado de divulgación de la información, a través de la Corporación, para favorecer a un tercero.</t>
  </si>
  <si>
    <t>Afectación de la imagen  y credibilidad ante la ciudadanía de la labor institucional.
Acciones disciplinarias.</t>
  </si>
  <si>
    <t xml:space="preserve">Documento del sistema de gestión formalizado. </t>
  </si>
  <si>
    <t>Documento oficializado</t>
  </si>
  <si>
    <t>Oficina Asesora de Comunicaciones</t>
  </si>
  <si>
    <t>El Jefe de la Oficina de Comunicaciones con su equipo, cada vez que  solicitan la publicación de un comunicado ( en página web o redes sociales), revisan el contenido a publicar, y en caso de encontrar sesgos favorables a terceros se le informa al solicitante por medio del correo electrónico institucional que no es posible publicar su comunicado, de no aceptar ajustarlo se pide un concepto a la Oficina Juridica.</t>
  </si>
  <si>
    <t>Actualizar  los procedimientos  para la publicación de contenidos oficiales en pagina web e intranet.</t>
  </si>
  <si>
    <t>Junio de 2021</t>
  </si>
  <si>
    <t>X</t>
  </si>
  <si>
    <t xml:space="preserve">'No cumplir con lo establecido en el procedimiento de Gestión Normativa para el sorteo de Ponencias, favoreciendo a un tercero. </t>
  </si>
  <si>
    <t xml:space="preserve">
Incumplimiento de los requisitos para el sorteo de ponencias que facilita la obtención de beneficios propios o para un tercero</t>
  </si>
  <si>
    <t>Indagación y/o investigación administrativa, fiscal, disciplinaria o penal</t>
  </si>
  <si>
    <t xml:space="preserve">
El presidente de la Corporación y el Secretario General de Organismo de Control con el apoyo de recursos humanos, tecnológicos y físicos, en cada periodo ordinario o extraordinario de sesiones realizan el sorteo público de ponentes,  adoptando medidas de transparencia tales como: convocatoria pública para que asistan los funcionarios de las UAN o de la Administración Distrital, . El evento se graba para dejar evidencia de su realización</t>
  </si>
  <si>
    <t xml:space="preserve">1. Convocar a los interesados para el sorteo de los proyectos de acuerdo.
2. Grabación en video y audio el sorteo, disponibles en la red interna de la Corporación  </t>
  </si>
  <si>
    <t xml:space="preserve">1. Correo electronico convocando a los interesados 
</t>
  </si>
  <si>
    <t>1. Secretaria general
2. Direccion adminsitrativa/sistemas</t>
  </si>
  <si>
    <t xml:space="preserve"> Sesiones ordinarias (Febrero, Mayo, Agosto y Noviembre) y en sesiones extraordinarias</t>
  </si>
  <si>
    <t>1. Número de convocatorias realizadas /Número de sorteos programados
2. Número de videos y audios de sorteos /Número de sorteos realizados</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</si>
  <si>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</si>
  <si>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</si>
  <si>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 xml:space="preserve">Manipulacion en el diligenciamiento de las planillas  de registro de asistencia para el reconocimiento de honorarios de los Concejales a la sesiones plenaria y comisiones permanentes. </t>
  </si>
  <si>
    <t xml:space="preserve">
Expedición de certificaciones de honorarios que no se ajusten a la asistencia real de los Honorables Concejales a las sesiones plenarias y comisiones.</t>
  </si>
  <si>
    <t>Indagación y/o investigación administrativa, fiscal, disciplinaria o penal 
Detrimento patrimonial</t>
  </si>
  <si>
    <t xml:space="preserve">
El profesional asignado por parte del secretario general o el subsecretario después de cada sesión, revisa las certificaciones digitadas  por el secretario ejecutivo o el auxiliar administrativo. En caso de encontrar desviaciones con el  registro electrónico y el llamado a lista en caso de ausencia o falla del procedimiento electrónico, el profesional realiza los ajustes respectivos, adicionalmente el secretario general verifica las certificaciones emitidas</t>
  </si>
  <si>
    <t>Verificar la certificacion con el registro suministrado por sistemas y en caso de fallas del sistema, se realizará llamados de conformidad con el reglamento interno vigente</t>
  </si>
  <si>
    <t>Registro de asistencia expedido por sistemas de cada una de las sesiones o el llamado a lista firmado por el secretario o subsecretario.</t>
  </si>
  <si>
    <t>Secretario General
Subsecretarios de Comisiones permanentes</t>
  </si>
  <si>
    <t>Enero -Diciembre  (mensual)</t>
  </si>
  <si>
    <t>Número de certificaciones expedidas/Número de sesiones realizadas</t>
  </si>
  <si>
    <t>No verificar el registro biométrico de votación para elaborar la certificación.</t>
  </si>
  <si>
    <t xml:space="preserve">
Expedición de certificaciones de votaciones que no corresponden a las reales, con el fin de favorecer un interés propio o de terceros</t>
  </si>
  <si>
    <t xml:space="preserve">El profesional asignado por parte del secretario general o el subsecretario,  elabora el registro de votación una vez culminada la sesión, al dia siguiente el secretario y subsecretarios revisan y verifican la información para expedir la certificación y en el caso de encontrar inconsistencias realiza los ajustes respectivos y se expide la certificación. Una vez firmadas se publican en la red interna y la página Web en cumplimiento de la ley 1712 </t>
  </si>
  <si>
    <t>Verificar la votacion con el registro suministrado por sistemas y en caso de fallas del sistema, se realizará llamados de conformidad con el reglamento interno vigente</t>
  </si>
  <si>
    <t>Registro de votación expedido por sistemas de cada una de las sesiones o el llamado a lista firmado por el secretario o subsecretario.</t>
  </si>
  <si>
    <t>Sesiones ordinarias (Febrero, Mayo, Agosto y Noviembre) y en sesiones extraordinarias</t>
  </si>
  <si>
    <t>Número de registros de votación  expedidos/Número de votaciones realizadas</t>
  </si>
  <si>
    <t>Omisión en el registro de la votación que se lleve a cabo.</t>
  </si>
  <si>
    <t>NO verficar la grabacion de las sesiones  (audio -video)</t>
  </si>
  <si>
    <t>No permitir que se cumpla con los términos de radicación.</t>
  </si>
  <si>
    <t>G. normativa</t>
  </si>
  <si>
    <t>Uso excesivo del poder</t>
  </si>
  <si>
    <t>'Direccionamiento indebido del nivel decisorio en  en la expedición de actos adminisrativos en el que se da apertura y reglamenta la convocatoria pública para la elección del secretario general de organismo de control; subsecretarios de despacho de las comisiones permanentes o en la toma de desiciones en beneficio propio o de un tercero</t>
  </si>
  <si>
    <t>Pérdida de confianza en lo público</t>
  </si>
  <si>
    <t>La Mesa Directiva de la Corporación cuando  requiere adelantar la convocatoria pública para la elección del Secretario General de Organismo de Control y Subsecretarios de Despacho de las tres Comisiones Permanentes garantizará los principios de transparencia y publicidad ordenando en el Acto Adminitrativos de apertura y reglamentación del proceso, la publicación de las hojas de vida de los aspirantes con sus respectivs anexos  y  solicitará el acompañamiento del Ministerio Público,, con el propósito de  verificar que la convocatoria se adelanta conforme al procedimiento establecido por la Mesa Directiva, consulta la pagina web de la Corporación y asistiendo a las sesiones convocadas  en desarrollo del proceso, en caso de presetarse desviaciones se comunicará lo sucedido a la autoridad compente para que inicie las investigaciones a que haya lugar. Así mismo, se adenlantarán las actuaciones administrativas pertinentes con el propósito de garantizar el debido proceso y demás principios que rigen las actuaciones administrativas.</t>
  </si>
  <si>
    <t>La Mesa Directiva de la Corporación solicitará el acompañamiento del Ministerio Público al momento de dar apertura a la Convocatoria pública para la  elección del Secretario General y Subsecretarios de Despacho de las Comisiones Permanentes. Así mismo, la Mesa Directiva de la Corporación ordenará publicar las hojas de vida de los aspirantes a ocupar los cargos en la págian web de la Corporación, garantizando la protección de datos</t>
  </si>
  <si>
    <t>Acto Administrativo de apertura y reglamentación de la convocatoria pública para la  elección del Secretario General de Organismo de Control y Subsecretarios de Despacho de las Comisiones Permanentes; Publicación de la Convocatoria en la Página Web de la Corporación; Oficio en el que se solicitó el acompañamiento del Ministerio Público</t>
  </si>
  <si>
    <t>Mesa Directiva de la Corporación</t>
  </si>
  <si>
    <t>Número de secretarios elegidos conforme al procedimiento estalecido por la Mesa Directiva de la Corporración</t>
  </si>
  <si>
    <t>Nepotismo</t>
  </si>
  <si>
    <t>Indagación y/o investigación administrativa, disciplinaria, fiscal o penal.</t>
  </si>
  <si>
    <t>Elecciones de servidores púbñlicos</t>
  </si>
  <si>
    <t xml:space="preserve">
Expedición de certificación de votaciones, que no corresponden a las reales, con el fin de favorecer un interés propio o de un tercero, en eventos no subsanables </t>
  </si>
  <si>
    <t xml:space="preserve">
El profesional asignado por parte del Secretario General o el Subsecretario,  una vez culminada la sesión  elabora el registro de votación. Al dia siguiente,  el secretario y subsecretarios revisan y verifican la información para expedir la certificación y en el caso de encontrar inconsistencias  solicitan realizar  los ajustes respectivos y se expide la certificación
</t>
  </si>
  <si>
    <t>Secretario General
Subsecretarios de Comisiones permanentes</t>
  </si>
  <si>
    <t>Control político</t>
  </si>
  <si>
    <t xml:space="preserve">Intereses y presiones de actores internos o  externos para favorecer a un particular. </t>
  </si>
  <si>
    <t>Posibilidad de favorecer a personas que no cumplan los requisitos en los planes de  bienestar o capacitación con el fin de beneficiar a particulares.</t>
  </si>
  <si>
    <t>*Acciones disciplinarias y fiscales
Afectación del clima laboral</t>
  </si>
  <si>
    <t>Los funcionarios del componente de bienestar y capacitación cada vez que se desarrolla una actividad del plan,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 por medio de un correo electrónico</t>
  </si>
  <si>
    <t>Actualizar los procedimientos de Plan de Bienestar e Incentivos y Capacitación a Funcionarios y el formato de inscripción a actividades de bienestar y capacitación en el cual se incluya el tipo de vinculación de la persona con la entidad y que controle el registro de personas que tienen derecho a participar.</t>
  </si>
  <si>
    <t>Documentos actualizados en el SIG.</t>
  </si>
  <si>
    <t>Director Administrativo.</t>
  </si>
  <si>
    <t>30-Junio de 2021</t>
  </si>
  <si>
    <t xml:space="preserve">3 documentos  actualizados en el SIG. </t>
  </si>
  <si>
    <t>Realizar actuaciones administrativas (nombramiento de funcionarios, encargos, reconocimiento de primas tecnicas, sin el lleno de los requisitos legales o reglamentarios para favorecer a un tercero.</t>
  </si>
  <si>
    <t xml:space="preserve">Sanciones Disciplinarias
Sanciones Fiscales.
Sanciones Penales.
</t>
  </si>
  <si>
    <r>
      <t>El responsable de proyectar el acto administrativo</t>
    </r>
    <r>
      <rPr>
        <sz val="11"/>
        <color rgb="FFFF0000"/>
        <rFont val="Arial"/>
        <family val="2"/>
      </rPr>
      <t xml:space="preserve"> cada vez que se emite un acto administrativo</t>
    </r>
    <r>
      <rPr>
        <sz val="11"/>
        <color theme="1"/>
        <rFont val="Arial"/>
        <family val="2"/>
      </rPr>
      <t xml:space="preserve"> verifica el cumplimiento de los requisitos establecidos en el procedimiento y en la norma, el documento proyectado es revisado por el asesor y entregado a la Dirección admnistrativa para la revisión, aprobación y certificación  del cumplimiento en los casos en que se requiere. De no encontrarse ajustado a los términos requeridos se solicita al punto de control realizar el ajuste.
En caso de que se encuentre una desviación el punto de control en el que se detecto lo devuelve a donde se origino el documento para su revisión y ajuste. </t>
    </r>
  </si>
  <si>
    <t xml:space="preserve">Actualizar el procedimiento de vinculación, desvinculación, licencias no remuneradas 
Aplicar los puntos de control establecidos en el procedimiento de encargos. </t>
  </si>
  <si>
    <t>Procedimiento Actualizado
Puntos de control según procedimiento</t>
  </si>
  <si>
    <t>Director Administrativo - equipo de talento humano.</t>
  </si>
  <si>
    <t>30 de junio de 2021.</t>
  </si>
  <si>
    <t>1 Procedimiento actualizado
100% de los actos administrativos proyectados con soportes de aplicación  de los puntos de control</t>
  </si>
  <si>
    <t>T. Humano</t>
  </si>
  <si>
    <t>Presión de terceros para incidir en las decisiones de la Dirección Jurídica.</t>
  </si>
  <si>
    <t>Avalar la expedición de actos administrativos y emitir conceptos por fuera del marco legal con el fin de favorecer el interés de un tercero.</t>
  </si>
  <si>
    <t>*Toma decisiones administrativas en contravía del ordenamiento jurídico.
*Posible investigacion penal, disciplinaria y/o fiscal.
* Acciones contencioso administrativas.
*Acción de Repeticion contra el funcionario que decide.
*Afectacion imagen institucional.</t>
  </si>
  <si>
    <t>El Director Jurídico cada vez que se solicita la revisión de un acto administrativo o un concepto, asigna el tema a un profesional, quien proyecta el acto administrativo o el concepto solicitado y lo remite al Director Jurídico, quien solo imparte viabilidad jurídica a los  proyectos de actos y conceptos que estén acordes con los requisitos legales.  En caso de encontrar alguna inconsistencia, el Director ordena efectuar el correspondiente ajuste, previo a emitir el aval  o a suscribir el documento para publicar (conceptos) o enviar a la mesa directiva</t>
  </si>
  <si>
    <t>Actualizar el procedimiento Asesoría Jurídica Interna.</t>
  </si>
  <si>
    <t>Documento aprobado en el SIG.</t>
  </si>
  <si>
    <t>Director Técnico Jurídico</t>
  </si>
  <si>
    <t xml:space="preserve">Marzo de 2021 </t>
  </si>
  <si>
    <t>1 documento aprobado</t>
  </si>
  <si>
    <t>Los funcionarios a quienes se presta el servicio de transpote tienen intención de manera directa o por presión de un tercero interno/ externo de darles usos diferentes a los estrictamente establecidos por la entidad para su beneficio personal.</t>
  </si>
  <si>
    <t xml:space="preserve">Posibilidad de dar uso indebido a los vehiculos propios, asignados a directivos y de apoyo a la gestión de la Corporación por Secretaria de Hacienda en benificio de terceros o particulares. </t>
  </si>
  <si>
    <t xml:space="preserve">Investigaciones disciplinarias
Investigaciones fiscales
Investigaciones penales
Detrimento patrimonial
Pérdida de imagen institucional </t>
  </si>
  <si>
    <t>El profesional  o Auxiliar administrativo cada vez que se solicita un servicio  de transporte, verifican que el servicio  se halla prestado de conformidad con el protocolo establecido:  el conductor halla registrado el servicio de transporte prestado, el formato esté  firmado por el funcionario a quien se le prestó el servicio. Si no se encuentra firmado se constata con el funcionario que el servicio se halla prestado y en el espacio de observaciones se registran los eventos que no hayan cumplido con el protocolo</t>
  </si>
  <si>
    <t xml:space="preserve">Comunicar y socializar a las partes interesadas el reglamento para la administraciòn, uso y manejo del parque autormotor propio al servicio del Concejo de Bogota. </t>
  </si>
  <si>
    <t>Memorandos y actas de reunión de socialización del Reglamento para la administraciòn, uso y manejo del parque autormotor propio al servicio del Concejo de Bogota adoptado. 
Procedimiento y Formato adoptado</t>
  </si>
  <si>
    <t xml:space="preserve">Dirección administrativa </t>
  </si>
  <si>
    <t xml:space="preserve">Numero de comunicaciones de socialización del Reglamento entregadas.
Numero de socializaciónes realizadas. </t>
  </si>
  <si>
    <t>Debilidad en los lineamientos, directirices o controles en la utilización de los recursos.</t>
  </si>
  <si>
    <t xml:space="preserve">Posibilidad de dar uso indebido a los recursos e insumos de  servicios generales, mantenimiento,   en benificio de terceros o particulares. </t>
  </si>
  <si>
    <t xml:space="preserve">Investigaciones disciplinarias
Investigaciones fiscales
Investigaciones penales
Detrimento patrimonial
Perdida de imagen institucional </t>
  </si>
  <si>
    <t>El profesional universitario y el auxiliar de servicios generales  (de un lado, realiza seguimiento al cumplimiento del contrato de mantenimiento de infraestructura) (frente a los insumos el auxiliar administrativo lleva control del inventario de insumos de aseo y cafeteria). Verifica que la empresa contratista provea los insumos ;  hace entrega a los operarios del contrato y fucionarios de servicios generales de la entidad, de las solicitudes de insumos, dispone de formatos para el control de gasto de suministros, semanalmente se entrega los requerimientos y se lleva registro en el formato correspondiente que es firmado por el operario</t>
  </si>
  <si>
    <t>Actualizar los procedimientos y formatos para ejecer adecuado control del manejo de suministros</t>
  </si>
  <si>
    <t>Procedimiento y formatos adoptados en el SIG.</t>
  </si>
  <si>
    <t xml:space="preserve"> Procediento y formatos actulizados</t>
  </si>
  <si>
    <t>31 de Marzo de 2021</t>
  </si>
  <si>
    <t>R. Físicos</t>
  </si>
  <si>
    <t>Sistemas de Información susceptibles de manipulación o adulteración por personas no autorizadas.</t>
  </si>
  <si>
    <t>Acceso indebido, hurto, manipulación o adulteración de la información para beneficio propio o de un tercero.</t>
  </si>
  <si>
    <t>Perdida de la información 
Perdida de la imagen y reputación.
Sanciones disciplinarias.
Sanciones penales.
Sanciones fiscales</t>
  </si>
  <si>
    <t>El Sistema de copias de seguridad, diariamente genera una copia de respaldo de la información en otro medio, el profesional asigando  verifica, que se halla realizado correctamente, de encontrarse inconsistencias se detecta la causa y se genera nuevamente el back up.</t>
  </si>
  <si>
    <t>Sensibilización o divulgación de lo establecido en el Manual de políticas de seguridad de la información.</t>
  </si>
  <si>
    <t>Evidencias de las actividades realizadas (Correos con las divulgaciones, fotos y registros de asistencias, entre otras)</t>
  </si>
  <si>
    <t>Dirección administrativa - Proceso de Sistemas y Seguridad de la Información</t>
  </si>
  <si>
    <t>Número de actividades de sensibilización o divulgación realizadas</t>
  </si>
  <si>
    <t>Falta de definición e implementación de controles para el acceso a la información.</t>
  </si>
  <si>
    <t>Cada servidor público del Concejo de Bogotá  de forma permanente da cumplimiento del Manual de Políticas de seguridad de la información. Verifica que  hace uso   correcto a los  sistemas a su cargo. cuando se presenten fallas solicita la presencia de la mesa de ayuda. En caso de no dar cumplimiento al Manual,  se llevan a cabo las acciones disciplinarias a que se dé lugar.</t>
  </si>
  <si>
    <t xml:space="preserve">Acceso indebido a los sistemas </t>
  </si>
  <si>
    <t>Obstaculización de un sistema informático del Concejo de Bogotá para beneficio propio o de un tercero</t>
  </si>
  <si>
    <t>Perdida de la imagen y reputación.
Sanciones disciplinarias.
Sanciones penales.
Sanciones fiscales</t>
  </si>
  <si>
    <t>El responsable de cada sistema verifica, de forma permanente que los sistemas estén actualizados a la versión mas estable del fabricante o proveedor. En caso de no poder actualizar los sistemas se aplican controles alternos.</t>
  </si>
  <si>
    <t>Realizar monitoreo de los sistemas de información.</t>
  </si>
  <si>
    <t>Reporte generado por la plataforma de monitoreo</t>
  </si>
  <si>
    <t>Número de incidentes presentados</t>
  </si>
  <si>
    <t>Vulnerabilidades de las plataformas de los sistemas informáticos</t>
  </si>
  <si>
    <t>Diciembre 2021</t>
  </si>
  <si>
    <t xml:space="preserve">Poco personal que apoye la supervisión de contratos y desconocimiento de la Guía de Supervisión. </t>
  </si>
  <si>
    <t>Concentrar las labores de supervisiòn en poco personal.</t>
  </si>
  <si>
    <t>Inobservancia de las obligaciones del Supervisor,  que genere el incumplimiento Contractual, en beneficio propio o de un tercero.</t>
  </si>
  <si>
    <t>Incumplimiento del objeto contractual por parte del contratista.</t>
  </si>
  <si>
    <t>Una vez perfeccionado el contrato y remitido por la Subdirecciòn de Asuntos Contractuales - SDH, el responsable del procedimiento de Fondo Cuenta proyecta memorando al funcionario asignado como Supervisor del Contrato, informandole la desingaciòn en la supervisiòn y su responsabilidades; por comunicación oficial se adjunta el link del Manual de Contrataciòn y la Guia de Supervisor de Contrato.</t>
  </si>
  <si>
    <t xml:space="preserve">Realizar reuniones y/o capacitaciones semestrales con los Supervisores de Contrato y los Apoyos a la Supervisión y Contratistas para evidenciar las observaciones en el ejercicio de la supervisión y formular las acciones que correspondan. </t>
  </si>
  <si>
    <t xml:space="preserve">Acta de Reunión </t>
  </si>
  <si>
    <t>Director Financiero y Fondo Cuenta del Concejo</t>
  </si>
  <si>
    <t>semestral</t>
  </si>
  <si>
    <t>No. Reuniones Realizadas /  Nro. Reuniones programadas en la vigencia</t>
  </si>
  <si>
    <t>Falta de politicas de identificación del usuario que acceda al aplicativo.</t>
  </si>
  <si>
    <t xml:space="preserve">Falta de comunicación entre la SHD y la Corporaciòn, que genera devoluación de documentaciòn y retrasos en el desarrollo del proceso contractual </t>
  </si>
  <si>
    <t>Servicios prestados no son acordes a la necesidades que se pretendian satisfacer.</t>
  </si>
  <si>
    <t>Recibida la cuenta de cobro por parte de los contratistas de la Dirección Financiera y por parte de los Supervisores de las demas dependencias de la Corporación, los apoyos a la supervisiòn de los contratos proceden a verificar la documentaciòn y soportes aportados (Ej: Pago seguridad social, Informe de Supervisiòn Periodica, Facturas si aplica, Informe de Ejecuciòn Mensual, entre otros), siendo correcto se procede a dar visto bueno en el Formato Ejecuciòn y Supervisión de Contratos y el Procedimiento Fondo Cuenta  elabora oficio remisiorio a la SDH. En caso de evidenciar observaciones se devuelve al supervisor para los correspondientes ajustes.</t>
  </si>
  <si>
    <t xml:space="preserve">Capacitar a los  Supervisores de Contrato, Apoyos a la Supervisión y Contratistas con el proposito de orientar en la correcta presentación de la documentación y los aplicativos correspondientes. </t>
  </si>
  <si>
    <t>Registro de Asistencia</t>
  </si>
  <si>
    <t>No. Capacitaciones Realizadas (01)</t>
  </si>
  <si>
    <t>Demora en los pagos a los contratistas.</t>
  </si>
  <si>
    <t>Recibido el Informe final de la ejecuciòn del contrato por parte de los contratistas de la Dirección Financiera y por parte de los Supervisores de las demás dependencias de la Corporación, los apoyos a la supervisiòn de los contratos proceden a verificar la documentaciòn y soportes aportados (Ej: Pago seguridad social, Informe de Supervisiòn Periodica, Facturas si aplica, Informe de Ejecuciòn Mensual y Final, entre otros), siendo correcto el Procedimiento Fondo Cuenta a elabora oficio remisiorio a la SDH. En caso de evidenciar observaciones se devuelve al supervisor para los correspondientes ajustes.</t>
  </si>
  <si>
    <t>Generar detrimento patrimonial por el pago sin la verificaciòn de la prestaciòn de servicio o la entrega de bienes contratados.</t>
  </si>
  <si>
    <t>MAPA DE RIESGOS</t>
  </si>
  <si>
    <t>Conducta inapropiada de integridad del servidor público</t>
  </si>
  <si>
    <t xml:space="preserve">Uso indebido de la información adqurida en el proceso de auditoría en beneficio propio o de un tercero.
</t>
  </si>
  <si>
    <t xml:space="preserve">Afectaciónn de la integridad y confidencialidad de la información obtenida en las auditorías internas.
Informes de auditoría sesgados.
</t>
  </si>
  <si>
    <t>En cada auditoría interna se realiza reunión con el Jefe de Control Interno para revisar el informe preliminar de auditoría (Acta) y en caso de encontrar diferencias, se realizan los ajustes correspondientes.</t>
  </si>
  <si>
    <t>Relizar reunión previa con el auditado antes de entregar el Informe Preliminar 
Realizar sensibilización en el código de ética del auditor a los integrantes de la OCI</t>
  </si>
  <si>
    <t>Acta de Reunión</t>
  </si>
  <si>
    <t>Jefe de la OCI y Auditor líder</t>
  </si>
  <si>
    <t>31  de diciembre de 2021</t>
  </si>
  <si>
    <t>No. de reuniones realizadas
No. de sensibilizaciones realizadas</t>
  </si>
  <si>
    <t>Explicación</t>
  </si>
  <si>
    <t>Elecciones de Servidores Públicos</t>
  </si>
  <si>
    <t>Recursos Físicos</t>
  </si>
  <si>
    <t>El análisis antes de controles, determinó un nivel de improbale (2) y un impacto mayor (4)</t>
  </si>
  <si>
    <t xml:space="preserve">El control ayuda a disminuir la probabilidad pero se mantiene el impacto.  Se definió el correspondiente plan de tratamiento con énfasis en actualizar documentación </t>
  </si>
  <si>
    <t>Antes de controles en términos de frecuencia, se calificó como raravez, no se presenta por lo menos en los últimos cinco años y el impacto se calificó como moedrado dado que afecta menos de 5 items de la escala de valoración</t>
  </si>
  <si>
    <t>Se matienen calificaciones dado que están en el nivel mínimo. Se ha fortalecido el control por medio de dar estricto cumplimiento a los terminos legales y reglamentarios de la convocatoria</t>
  </si>
  <si>
    <t>Se analizó que ocurre rara vez (1) y  en terminos de impacto se encuentra en un nivel moderado</t>
  </si>
  <si>
    <t>Se matienen calificaciones dado que están en el nivel mínimo. Se ha fortalecido el control gracias al apoyo de la grabación de las sesiones</t>
  </si>
  <si>
    <t>Antes de controles por frecuencia en los últimos cinco años no se presentan actos que indiquen eventos de esta índole;  en terminos de impacto se encuentra en un nivel moderado</t>
  </si>
  <si>
    <t>Se matienen calificaciones dado que están en el nivel mínimo. Se ha fortalecido el control gracias al apoyo de la grabación de las sesiones y a la verificación posterior antes de expedir la certificación de asistencia</t>
  </si>
  <si>
    <t>Se matienen calificaciones dado que la probabilidad está en el nivel mínimo. Se ha fortalecido el control dando amplía publicidad a la convocatoria y estricto cumplimiente a los terminos legales y reglamentarios</t>
  </si>
  <si>
    <t>Antes de controles en los últimos cinco años no se presentan eventos de esta índole;  en terminos de impacto se encuentra en un nivel mayor, dado que la escala de valoración arroja que tendría impacto en más de cinco de los items evaluados</t>
  </si>
  <si>
    <t>Se matienen calificaciones dado que la probabilidad está en el nivel mínimo. Se ha fortalecido el control gracias al apoyo de las grabaciones de las sesiones que facilitan constatar los eventos de votaciones</t>
  </si>
  <si>
    <t>las actividades de control ayudan a disminuir la probabilidad sin embargo, el nievel de impacto se mantiene, lo que permite disminuir el grado de severidad de alto a moderado</t>
  </si>
  <si>
    <t xml:space="preserve">El análisis antes de controles, determinó un nivel de posible (3) y un impacto mayor (4), si bien no se ha materializado la alta exposición al riesgo de las actividades del proceso, arrojan dichos resultados </t>
  </si>
  <si>
    <t xml:space="preserve">El análisis antes de controles, determinó un nivel de rara vez(1) y un impacto mayor (4), si bien no se ha materializado la alta exposición al riesgo de las actividades del proceso, arrojan dichos resultados </t>
  </si>
  <si>
    <t>se mantienen las calificaciones dado que, la probabilidad está en su nivel mínimo. Sin embargo, las actividades de control se mantienen fuertes, dando estricto cumplimiento a las normas legales y a los puntos de control</t>
  </si>
  <si>
    <t>El análisis antes de controles muestran una baja frecuencia de  situaciones de esta índole(1) rara vez pero el imp0acto de llegar a materializarse arroja un nivel de mayor (4)</t>
  </si>
  <si>
    <t>se mantienen las calificaciones dado que, la probabilidad está en su nivel mínimo. Sin embargo, las actividades de control se han fortalecido actualizando procedimiento y formatos dando especial atención a establecer los puntos de control</t>
  </si>
  <si>
    <t>El análisis antes de controles muestran una  frecuencia de improbable (2) para situaciones de que impliquen actos de corrupción- pero el impacto sería de un nivel mayor según la escala de valoración aplicada</t>
  </si>
  <si>
    <t>El control ayuda a disminuir la probabilidad pero se mantiene el impacto.  Se definió el correspondiente plan de tratamiento con énfasis en actualizar documentación y en especial los puntos de control, actividades ya desarrolladas</t>
  </si>
  <si>
    <t>El control ayuda a disminuir la probabilidad pero se mantiene el impacto.  Se definió el correspondiente plan de tratamiento con énfasis en actualizar documentación y en especial los puntos de control, actividades ya cumplidas</t>
  </si>
  <si>
    <t>El control ayuda a disminuir la probabilidad pero se mantiene el impacto.  Se definió el correspondiente plan de tratamiento con énfasis en actualizar documentación y en especial los puntos de control, actividades en proceso de desarrollo</t>
  </si>
  <si>
    <t xml:space="preserve">El análisis antes de controles, determinó un nivel de ocurrencia de rara vez (1), si bien no se ha materializado la alta exposición al riesgo de las actividades del proceso, arrojan un resultado de moderado </t>
  </si>
  <si>
    <t>Se mantienen las calificaciones ya que están en el nivel mínimo y las actividades de control dada su fortaleza permiten mantener el riesgo en niveles manejables</t>
  </si>
  <si>
    <t>El análisis antes de controles muestran una  frecuencia de rara vez (1) situaciones de que impliquen actos de corrupción- pero el impacto sería de un nivel mayor según la escala de valoración aplicada</t>
  </si>
  <si>
    <t>El control mantiene el nivel  la probabilidad y disminuye el impacto.  El correspondiente plan de tratamiento, enfatiza en fortalecer las actividades que prevengan la materialización del riesgo</t>
  </si>
  <si>
    <t>MAPA DE RIESGOS DE CORRUPCIÓN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</si>
</sst>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Light"/>
      <family val="2"/>
    </font>
    <font>
      <b/>
      <sz val="11"/>
      <color theme="1"/>
      <name val="Calibri Light"/>
      <family val="2"/>
    </font>
    <font>
      <b/>
      <sz val="18"/>
      <color theme="1"/>
      <name val="Calibri Light"/>
      <family val="2"/>
    </font>
    <font>
      <b/>
      <sz val="12"/>
      <color theme="1"/>
      <name val="Calibri"/>
      <family val="2"/>
      <scheme val="minor"/>
    </font>
    <font>
      <sz val="11"/>
      <color theme="1"/>
      <name val="Arial"/>
      <family val="2"/>
    </font>
    <font>
      <b/>
      <sz val="11"/>
      <color theme="1"/>
      <name val="Arial"/>
      <family val="2"/>
    </font>
    <font>
      <sz val="11"/>
      <name val="Arial"/>
      <family val="2"/>
    </font>
    <font>
      <sz val="11"/>
      <color rgb="FFFF0000"/>
      <name val="Arial"/>
      <family val="2"/>
    </font>
    <font>
      <sz val="11"/>
      <color rgb="FFFF0000"/>
      <name val="Calibri"/>
      <family val="2"/>
      <scheme val="minor"/>
    </font>
    <font>
      <b/>
      <sz val="18"/>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43">
    <xf numFmtId="0" fontId="0" fillId="0" borderId="0" xfId="0"/>
    <xf numFmtId="0" fontId="1" fillId="0" borderId="1" xfId="0" applyFont="1" applyBorder="1"/>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4" fillId="0" borderId="0"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7" borderId="0" xfId="0" applyFill="1"/>
    <xf numFmtId="0" fontId="0" fillId="0" borderId="0" xfId="0" applyAlignment="1">
      <alignment horizontal="center" vertical="center"/>
    </xf>
    <xf numFmtId="0" fontId="1" fillId="0" borderId="1" xfId="0" applyFont="1" applyBorder="1" applyAlignment="1">
      <alignment horizontal="center" vertical="center"/>
    </xf>
    <xf numFmtId="0" fontId="0" fillId="7" borderId="1" xfId="0"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Fill="1" applyAlignment="1">
      <alignment vertical="center" wrapText="1"/>
    </xf>
    <xf numFmtId="0" fontId="9" fillId="0" borderId="0"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4" borderId="1" xfId="0" applyFont="1" applyFill="1" applyBorder="1" applyAlignment="1">
      <alignment horizontal="justify" vertical="center" wrapText="1"/>
    </xf>
    <xf numFmtId="0" fontId="6" fillId="0" borderId="0" xfId="0" applyFont="1" applyBorder="1" applyAlignment="1">
      <alignment horizontal="center" vertical="center" wrapText="1"/>
    </xf>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0" fillId="0" borderId="1" xfId="0" applyFont="1" applyFill="1" applyBorder="1" applyAlignment="1">
      <alignment horizontal="left"/>
    </xf>
    <xf numFmtId="0" fontId="0" fillId="0" borderId="1" xfId="0" applyBorder="1" applyAlignment="1">
      <alignment horizontal="left" vertical="center"/>
    </xf>
    <xf numFmtId="0" fontId="5" fillId="0" borderId="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Border="1"/>
    <xf numFmtId="0" fontId="5" fillId="0" borderId="0" xfId="0" applyFont="1" applyBorder="1" applyAlignment="1">
      <alignment vertical="center" wrapText="1"/>
    </xf>
    <xf numFmtId="0" fontId="4" fillId="0" borderId="0" xfId="0" applyFont="1" applyBorder="1" applyAlignment="1">
      <alignment vertical="center"/>
    </xf>
    <xf numFmtId="0" fontId="6" fillId="0" borderId="0" xfId="0" applyFont="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wrapText="1"/>
    </xf>
    <xf numFmtId="0" fontId="1" fillId="3" borderId="1" xfId="0" applyFont="1" applyFill="1" applyBorder="1"/>
    <xf numFmtId="0" fontId="1" fillId="3" borderId="1" xfId="0" applyFont="1" applyFill="1" applyBorder="1" applyAlignment="1">
      <alignment horizontal="left" vertical="center"/>
    </xf>
    <xf numFmtId="0" fontId="1" fillId="0" borderId="4" xfId="0" applyFont="1" applyBorder="1"/>
    <xf numFmtId="0" fontId="0" fillId="0" borderId="4" xfId="0" applyBorder="1" applyAlignment="1">
      <alignment horizontal="center" vertical="center"/>
    </xf>
    <xf numFmtId="0" fontId="0" fillId="0" borderId="1" xfId="0" applyBorder="1" applyAlignment="1">
      <alignment horizontal="left" vertical="top" wrapText="1"/>
    </xf>
    <xf numFmtId="0" fontId="1" fillId="0" borderId="0" xfId="0" applyFont="1" applyBorder="1"/>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8"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1" fillId="0" borderId="18" xfId="0" applyFont="1" applyBorder="1" applyAlignment="1">
      <alignment wrapText="1"/>
    </xf>
    <xf numFmtId="0" fontId="1" fillId="0" borderId="0" xfId="0" applyFont="1" applyAlignment="1">
      <alignment wrapText="1"/>
    </xf>
    <xf numFmtId="0" fontId="0" fillId="0" borderId="19" xfId="0" applyBorder="1"/>
    <xf numFmtId="0" fontId="0" fillId="0" borderId="20" xfId="0" applyBorder="1"/>
    <xf numFmtId="0" fontId="0" fillId="0" borderId="21"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0" fillId="12" borderId="1" xfId="0" applyFill="1" applyBorder="1"/>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9" fillId="0" borderId="1" xfId="0" applyFont="1" applyFill="1" applyBorder="1" applyAlignment="1" applyProtection="1">
      <alignment vertical="center"/>
    </xf>
    <xf numFmtId="0" fontId="9" fillId="10"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0" fillId="0" borderId="1" xfId="0" quotePrefix="1" applyFont="1" applyFill="1" applyBorder="1" applyAlignment="1">
      <alignment vertical="center" wrapText="1"/>
    </xf>
    <xf numFmtId="0" fontId="8" fillId="0" borderId="1" xfId="0" quotePrefix="1" applyFont="1" applyFill="1" applyBorder="1" applyAlignment="1">
      <alignment vertical="center" wrapText="1"/>
    </xf>
    <xf numFmtId="0" fontId="9" fillId="0" borderId="1" xfId="0" applyFont="1" applyFill="1" applyBorder="1" applyAlignment="1">
      <alignment vertical="center"/>
    </xf>
    <xf numFmtId="15" fontId="8" fillId="0" borderId="1" xfId="0" applyNumberFormat="1" applyFont="1" applyFill="1" applyBorder="1" applyAlignment="1">
      <alignment vertical="center" wrapText="1"/>
    </xf>
    <xf numFmtId="0" fontId="9" fillId="0" borderId="0" xfId="0" applyFont="1" applyFill="1" applyAlignment="1">
      <alignment vertical="center"/>
    </xf>
    <xf numFmtId="0" fontId="8" fillId="0" borderId="1" xfId="0" quotePrefix="1" applyFont="1" applyFill="1" applyBorder="1" applyAlignment="1">
      <alignment horizontal="justify" vertical="center" wrapText="1"/>
    </xf>
    <xf numFmtId="0" fontId="9" fillId="0" borderId="1" xfId="0" applyFont="1" applyFill="1" applyBorder="1" applyAlignment="1">
      <alignment horizontal="center" vertical="center"/>
    </xf>
    <xf numFmtId="0" fontId="10" fillId="0" borderId="1" xfId="0" quotePrefix="1"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quotePrefix="1" applyFont="1" applyFill="1" applyBorder="1" applyAlignment="1" applyProtection="1">
      <alignment vertical="center" wrapText="1" shrinkToFit="1"/>
      <protection locked="0"/>
    </xf>
    <xf numFmtId="0" fontId="8" fillId="0" borderId="25" xfId="0" applyFont="1" applyFill="1" applyBorder="1" applyAlignment="1">
      <alignment horizontal="center" vertical="center"/>
    </xf>
    <xf numFmtId="0" fontId="10" fillId="0" borderId="25"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vertical="center" wrapText="1"/>
    </xf>
    <xf numFmtId="0" fontId="9" fillId="0" borderId="25" xfId="0" applyFont="1" applyFill="1" applyBorder="1" applyAlignment="1">
      <alignment horizontal="center" vertical="center"/>
    </xf>
    <xf numFmtId="0" fontId="8" fillId="0" borderId="25" xfId="0" applyFont="1" applyFill="1" applyBorder="1" applyAlignment="1">
      <alignment vertical="center"/>
    </xf>
    <xf numFmtId="0" fontId="9" fillId="0" borderId="25" xfId="0" applyFont="1" applyFill="1" applyBorder="1" applyAlignment="1">
      <alignment vertical="center"/>
    </xf>
    <xf numFmtId="0" fontId="9" fillId="0" borderId="26" xfId="0" applyFont="1" applyFill="1" applyBorder="1" applyAlignment="1">
      <alignment vertical="center"/>
    </xf>
    <xf numFmtId="0" fontId="8" fillId="0" borderId="12" xfId="0" applyFont="1" applyFill="1" applyBorder="1" applyAlignment="1">
      <alignment horizontal="center" vertical="center"/>
    </xf>
    <xf numFmtId="0" fontId="10" fillId="0" borderId="12"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9" fillId="0" borderId="12" xfId="0" applyFont="1" applyFill="1" applyBorder="1" applyAlignment="1">
      <alignment horizontal="center"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17" fontId="8"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5" xfId="0" quotePrefix="1" applyFont="1" applyFill="1" applyBorder="1" applyAlignment="1" applyProtection="1">
      <alignment horizontal="left" vertical="center" wrapText="1"/>
      <protection locked="0"/>
    </xf>
    <xf numFmtId="0" fontId="10" fillId="0" borderId="5" xfId="0" quotePrefix="1" applyFont="1" applyFill="1" applyBorder="1" applyAlignment="1">
      <alignment horizontal="left" vertical="center" wrapText="1"/>
    </xf>
    <xf numFmtId="0" fontId="8" fillId="0" borderId="5" xfId="0" quotePrefix="1" applyFont="1" applyFill="1" applyBorder="1" applyAlignment="1">
      <alignment horizontal="left" vertical="center" wrapText="1"/>
    </xf>
    <xf numFmtId="0" fontId="9" fillId="0" borderId="5" xfId="0" applyFont="1" applyFill="1" applyBorder="1" applyAlignment="1">
      <alignment horizontal="center" vertical="center"/>
    </xf>
    <xf numFmtId="0" fontId="10" fillId="0" borderId="5" xfId="0" applyFont="1" applyFill="1" applyBorder="1" applyAlignment="1" applyProtection="1">
      <alignment horizontal="left" vertical="center" wrapText="1" shrinkToFit="1"/>
      <protection locked="0"/>
    </xf>
    <xf numFmtId="0" fontId="8" fillId="0" borderId="5" xfId="0" applyFont="1" applyFill="1" applyBorder="1" applyAlignment="1">
      <alignment horizontal="left" vertical="center" wrapText="1"/>
    </xf>
    <xf numFmtId="2" fontId="8" fillId="0" borderId="1" xfId="0" applyNumberFormat="1" applyFont="1" applyFill="1" applyBorder="1" applyAlignment="1">
      <alignment horizontal="justify" vertical="center" wrapText="1"/>
    </xf>
    <xf numFmtId="0" fontId="9" fillId="0" borderId="1" xfId="0" applyFont="1" applyFill="1" applyBorder="1" applyAlignment="1">
      <alignment horizontal="center" vertical="center"/>
    </xf>
    <xf numFmtId="49"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0" xfId="0" applyFont="1" applyFill="1" applyAlignment="1">
      <alignment vertical="center"/>
    </xf>
    <xf numFmtId="0" fontId="8" fillId="0" borderId="5" xfId="0" applyFont="1" applyFill="1" applyBorder="1" applyAlignment="1">
      <alignment vertical="center" wrapText="1"/>
    </xf>
    <xf numFmtId="0" fontId="8" fillId="0" borderId="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8" fillId="0" borderId="25" xfId="0" applyFont="1" applyFill="1" applyBorder="1" applyAlignment="1">
      <alignment horizontal="left" vertical="center" wrapText="1"/>
    </xf>
    <xf numFmtId="2" fontId="10" fillId="0" borderId="1" xfId="0" applyNumberFormat="1" applyFont="1" applyFill="1" applyBorder="1" applyAlignment="1">
      <alignment horizontal="left" vertical="center" wrapText="1"/>
    </xf>
    <xf numFmtId="0" fontId="8" fillId="0" borderId="1" xfId="0" applyFont="1" applyFill="1" applyBorder="1" applyAlignment="1" applyProtection="1">
      <alignmen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6" xfId="0" applyFont="1" applyFill="1" applyBorder="1" applyAlignment="1">
      <alignment horizontal="left" vertical="center" wrapText="1"/>
    </xf>
    <xf numFmtId="17" fontId="8" fillId="0" borderId="5" xfId="0" quotePrefix="1" applyNumberFormat="1" applyFont="1" applyFill="1" applyBorder="1" applyAlignment="1">
      <alignment horizontal="center" vertical="center"/>
    </xf>
    <xf numFmtId="17" fontId="8" fillId="0" borderId="6" xfId="0" quotePrefix="1"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12" xfId="0" applyFont="1" applyFill="1" applyBorder="1" applyAlignment="1">
      <alignment horizontal="center" vertical="center"/>
    </xf>
    <xf numFmtId="0" fontId="10" fillId="0" borderId="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5" xfId="0" quotePrefix="1" applyFont="1" applyFill="1" applyBorder="1" applyAlignment="1">
      <alignment horizontal="center" vertical="center" wrapText="1"/>
    </xf>
    <xf numFmtId="0" fontId="10" fillId="0" borderId="12" xfId="0" quotePrefix="1" applyFont="1" applyFill="1" applyBorder="1" applyAlignment="1">
      <alignment horizontal="center" vertical="center" wrapText="1"/>
    </xf>
    <xf numFmtId="0" fontId="10" fillId="0" borderId="6" xfId="0" quotePrefix="1" applyFont="1" applyFill="1" applyBorder="1" applyAlignment="1">
      <alignment horizontal="center" vertical="center" wrapText="1"/>
    </xf>
    <xf numFmtId="0" fontId="10" fillId="0" borderId="5" xfId="0" quotePrefix="1" applyFont="1" applyFill="1" applyBorder="1" applyAlignment="1">
      <alignment horizontal="left" vertical="center" wrapText="1"/>
    </xf>
    <xf numFmtId="0" fontId="10" fillId="0" borderId="12" xfId="0" quotePrefix="1" applyFont="1" applyFill="1" applyBorder="1" applyAlignment="1">
      <alignment horizontal="left" vertical="center" wrapText="1"/>
    </xf>
    <xf numFmtId="0" fontId="10" fillId="0" borderId="6" xfId="0" quotePrefix="1" applyFont="1" applyFill="1" applyBorder="1" applyAlignment="1">
      <alignment horizontal="left" vertical="center" wrapText="1"/>
    </xf>
    <xf numFmtId="0" fontId="8" fillId="0" borderId="5"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8" borderId="11" xfId="0" applyFont="1" applyFill="1" applyBorder="1" applyAlignment="1">
      <alignment horizontal="center" vertical="center"/>
    </xf>
    <xf numFmtId="0" fontId="9" fillId="8" borderId="3" xfId="0" applyFont="1" applyFill="1" applyBorder="1" applyAlignment="1">
      <alignment horizontal="center" vertical="center"/>
    </xf>
    <xf numFmtId="0" fontId="9" fillId="11" borderId="11"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9" fillId="6"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9" fillId="10" borderId="11"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3" fillId="0" borderId="0" xfId="0" applyFont="1" applyBorder="1" applyAlignment="1">
      <alignment horizontal="center" vertical="center"/>
    </xf>
    <xf numFmtId="0" fontId="9" fillId="5" borderId="1" xfId="0" applyFont="1" applyFill="1" applyBorder="1" applyAlignment="1">
      <alignment horizontal="center" vertical="center" wrapText="1"/>
    </xf>
    <xf numFmtId="0" fontId="8" fillId="0" borderId="12"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2" fontId="10" fillId="0" borderId="5" xfId="0" applyNumberFormat="1" applyFont="1" applyFill="1" applyBorder="1" applyAlignment="1">
      <alignment horizontal="left" vertical="center" wrapText="1"/>
    </xf>
    <xf numFmtId="2" fontId="10" fillId="0" borderId="12" xfId="0" applyNumberFormat="1" applyFont="1" applyFill="1" applyBorder="1" applyAlignment="1">
      <alignment horizontal="left" vertical="center" wrapText="1"/>
    </xf>
    <xf numFmtId="2" fontId="10" fillId="0" borderId="6" xfId="0" applyNumberFormat="1" applyFont="1" applyFill="1" applyBorder="1" applyAlignment="1">
      <alignment horizontal="left" vertical="center" wrapText="1"/>
    </xf>
    <xf numFmtId="1" fontId="8" fillId="0" borderId="5"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1" fontId="8" fillId="0" borderId="6" xfId="0" applyNumberFormat="1" applyFont="1" applyFill="1" applyBorder="1" applyAlignment="1">
      <alignment horizontal="center" vertical="center"/>
    </xf>
    <xf numFmtId="0" fontId="8" fillId="0" borderId="5" xfId="0" applyFont="1" applyFill="1" applyBorder="1" applyAlignment="1">
      <alignment vertical="center" wrapText="1"/>
    </xf>
    <xf numFmtId="0" fontId="8" fillId="0" borderId="12" xfId="0" applyFont="1" applyFill="1" applyBorder="1" applyAlignment="1">
      <alignment vertical="center" wrapText="1"/>
    </xf>
    <xf numFmtId="0" fontId="8" fillId="0" borderId="6" xfId="0" applyFont="1" applyFill="1" applyBorder="1" applyAlignment="1">
      <alignment vertical="center" wrapText="1"/>
    </xf>
    <xf numFmtId="49" fontId="8" fillId="0" borderId="5" xfId="0" applyNumberFormat="1" applyFont="1" applyFill="1" applyBorder="1" applyAlignment="1">
      <alignment vertical="center" wrapText="1"/>
    </xf>
    <xf numFmtId="49" fontId="8" fillId="0" borderId="12"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0" fontId="8" fillId="0" borderId="1" xfId="0" applyFont="1" applyFill="1" applyBorder="1" applyAlignment="1">
      <alignment horizontal="justify" vertical="center" wrapText="1"/>
    </xf>
    <xf numFmtId="0" fontId="0" fillId="0" borderId="12" xfId="0" applyFill="1" applyBorder="1" applyAlignment="1">
      <alignment horizontal="center" vertical="center" wrapText="1"/>
    </xf>
    <xf numFmtId="0" fontId="0" fillId="0" borderId="6" xfId="0"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6" xfId="0" applyFill="1" applyBorder="1" applyAlignment="1">
      <alignment horizontal="left" vertical="center" wrapText="1"/>
    </xf>
    <xf numFmtId="0" fontId="10"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5" xfId="0" applyFont="1" applyFill="1" applyBorder="1" applyAlignment="1">
      <alignment horizontal="justify" vertical="center" wrapText="1"/>
    </xf>
    <xf numFmtId="0" fontId="0" fillId="0" borderId="12" xfId="0" applyFill="1" applyBorder="1" applyAlignment="1">
      <alignment vertical="center" wrapText="1"/>
    </xf>
    <xf numFmtId="0" fontId="0" fillId="0" borderId="6" xfId="0" applyFill="1" applyBorder="1" applyAlignment="1">
      <alignmen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 fillId="0" borderId="0" xfId="0" applyFont="1" applyAlignment="1">
      <alignment horizontal="left" wrapText="1"/>
    </xf>
    <xf numFmtId="0" fontId="8" fillId="0" borderId="1" xfId="0" applyFont="1" applyFill="1" applyBorder="1" applyAlignment="1">
      <alignment horizontal="left" vertical="center" wrapText="1"/>
    </xf>
    <xf numFmtId="0" fontId="0" fillId="0" borderId="1" xfId="0" applyBorder="1" applyAlignment="1">
      <alignment horizontal="justify" vertical="center"/>
    </xf>
    <xf numFmtId="0" fontId="0" fillId="0" borderId="11" xfId="0" applyBorder="1" applyAlignment="1">
      <alignment horizontal="justify" vertical="center"/>
    </xf>
    <xf numFmtId="0" fontId="0" fillId="0" borderId="3" xfId="0" applyBorder="1" applyAlignment="1">
      <alignment horizontal="justify" vertical="center"/>
    </xf>
    <xf numFmtId="0" fontId="0" fillId="0" borderId="4" xfId="0" applyBorder="1" applyAlignment="1">
      <alignment horizontal="justify" vertical="center"/>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xf>
    <xf numFmtId="0" fontId="1" fillId="3" borderId="1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1" xfId="0" applyFont="1" applyFill="1" applyBorder="1" applyAlignment="1">
      <alignment horizontal="center"/>
    </xf>
    <xf numFmtId="0" fontId="1" fillId="3" borderId="4" xfId="0" applyFont="1" applyFill="1" applyBorder="1" applyAlignment="1">
      <alignment horizont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6" borderId="4" xfId="0" applyFont="1" applyFill="1" applyBorder="1" applyAlignment="1">
      <alignment horizontal="center"/>
    </xf>
    <xf numFmtId="0" fontId="1" fillId="6" borderId="1" xfId="0" applyFont="1" applyFill="1" applyBorder="1" applyAlignment="1">
      <alignment horizontal="center"/>
    </xf>
    <xf numFmtId="0" fontId="0" fillId="3" borderId="1" xfId="0" applyFill="1" applyBorder="1" applyAlignment="1">
      <alignment horizontal="center"/>
    </xf>
    <xf numFmtId="0" fontId="0" fillId="0" borderId="0" xfId="0" applyFont="1" applyFill="1" applyBorder="1" applyAlignment="1">
      <alignment horizontal="left" vertical="top" wrapText="1"/>
    </xf>
    <xf numFmtId="0" fontId="9" fillId="4" borderId="12" xfId="0" applyFont="1" applyFill="1" applyBorder="1" applyAlignment="1">
      <alignment horizontal="center" vertical="center" wrapText="1"/>
    </xf>
  </cellXfs>
  <cellStyles count="1">
    <cellStyle name="Normal" xfId="0" builtinId="0"/>
  </cellStyles>
  <dxfs count="130">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22411</xdr:colOff>
      <xdr:row>0</xdr:row>
      <xdr:rowOff>156882</xdr:rowOff>
    </xdr:from>
    <xdr:to>
      <xdr:col>6</xdr:col>
      <xdr:colOff>752475</xdr:colOff>
      <xdr:row>2</xdr:row>
      <xdr:rowOff>280707</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911" y="156882"/>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803461</xdr:colOff>
      <xdr:row>0</xdr:row>
      <xdr:rowOff>33057</xdr:rowOff>
    </xdr:from>
    <xdr:to>
      <xdr:col>1</xdr:col>
      <xdr:colOff>451036</xdr:colOff>
      <xdr:row>3</xdr:row>
      <xdr:rowOff>4482</xdr:rowOff>
    </xdr:to>
    <xdr:pic>
      <xdr:nvPicPr>
        <xdr:cNvPr id="8" name="Imagen 7">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461" y="33057"/>
          <a:ext cx="752475" cy="885825"/>
        </a:xfrm>
        <a:prstGeom prst="rect">
          <a:avLst/>
        </a:prstGeom>
        <a:noFill/>
        <a:ln>
          <a:noFill/>
        </a:ln>
      </xdr:spPr>
    </xdr:pic>
    <xdr:clientData/>
  </xdr:twoCellAnchor>
  <xdr:twoCellAnchor editAs="oneCell">
    <xdr:from>
      <xdr:col>4</xdr:col>
      <xdr:colOff>323850</xdr:colOff>
      <xdr:row>5</xdr:row>
      <xdr:rowOff>19050</xdr:rowOff>
    </xdr:from>
    <xdr:to>
      <xdr:col>12</xdr:col>
      <xdr:colOff>819150</xdr:colOff>
      <xdr:row>19</xdr:row>
      <xdr:rowOff>66676</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2"/>
        <a:srcRect l="25502" t="14335" r="26054" b="6877"/>
        <a:stretch/>
      </xdr:blipFill>
      <xdr:spPr>
        <a:xfrm>
          <a:off x="9505950" y="1476375"/>
          <a:ext cx="7381875" cy="6753226"/>
        </a:xfrm>
        <a:prstGeom prst="rect">
          <a:avLst/>
        </a:prstGeom>
      </xdr:spPr>
    </xdr:pic>
    <xdr:clientData/>
  </xdr:twoCellAnchor>
  <xdr:twoCellAnchor editAs="oneCell">
    <xdr:from>
      <xdr:col>3</xdr:col>
      <xdr:colOff>1047749</xdr:colOff>
      <xdr:row>26</xdr:row>
      <xdr:rowOff>19051</xdr:rowOff>
    </xdr:from>
    <xdr:to>
      <xdr:col>5</xdr:col>
      <xdr:colOff>911625</xdr:colOff>
      <xdr:row>35</xdr:row>
      <xdr:rowOff>171450</xdr:rowOff>
    </xdr:to>
    <xdr:pic>
      <xdr:nvPicPr>
        <xdr:cNvPr id="6" name="Imagen 5">
          <a:extLst>
            <a:ext uri="{FF2B5EF4-FFF2-40B4-BE49-F238E27FC236}">
              <a16:creationId xmlns:a16="http://schemas.microsoft.com/office/drawing/2014/main" xmlns="" id="{00000000-0008-0000-0100-000006000000}"/>
            </a:ext>
          </a:extLst>
        </xdr:cNvPr>
        <xdr:cNvPicPr>
          <a:picLocks noChangeAspect="1"/>
        </xdr:cNvPicPr>
      </xdr:nvPicPr>
      <xdr:blipFill rotWithShape="1">
        <a:blip xmlns:r="http://schemas.openxmlformats.org/officeDocument/2006/relationships" r:embed="rId3"/>
        <a:srcRect l="28441" t="36782" r="29740" b="32659"/>
        <a:stretch/>
      </xdr:blipFill>
      <xdr:spPr>
        <a:xfrm>
          <a:off x="7210424" y="15630526"/>
          <a:ext cx="4750201" cy="1952624"/>
        </a:xfrm>
        <a:prstGeom prst="rect">
          <a:avLst/>
        </a:prstGeom>
      </xdr:spPr>
    </xdr:pic>
    <xdr:clientData/>
  </xdr:twoCellAnchor>
  <xdr:twoCellAnchor editAs="oneCell">
    <xdr:from>
      <xdr:col>0</xdr:col>
      <xdr:colOff>0</xdr:colOff>
      <xdr:row>23</xdr:row>
      <xdr:rowOff>0</xdr:rowOff>
    </xdr:from>
    <xdr:to>
      <xdr:col>3</xdr:col>
      <xdr:colOff>962025</xdr:colOff>
      <xdr:row>47</xdr:row>
      <xdr:rowOff>173404</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rotWithShape="1">
        <a:blip xmlns:r="http://schemas.openxmlformats.org/officeDocument/2006/relationships" r:embed="rId4"/>
        <a:srcRect l="16127" t="9890" r="19553" b="11655"/>
        <a:stretch/>
      </xdr:blipFill>
      <xdr:spPr>
        <a:xfrm>
          <a:off x="0" y="15011400"/>
          <a:ext cx="7124700" cy="4888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670111</xdr:colOff>
      <xdr:row>0</xdr:row>
      <xdr:rowOff>118782</xdr:rowOff>
    </xdr:from>
    <xdr:to>
      <xdr:col>1</xdr:col>
      <xdr:colOff>422461</xdr:colOff>
      <xdr:row>2</xdr:row>
      <xdr:rowOff>309282</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111" y="118782"/>
          <a:ext cx="752475" cy="885825"/>
        </a:xfrm>
        <a:prstGeom prst="rect">
          <a:avLst/>
        </a:prstGeom>
        <a:noFill/>
        <a:ln>
          <a:noFill/>
        </a:ln>
      </xdr:spPr>
    </xdr:pic>
    <xdr:clientData/>
  </xdr:twoCellAnchor>
  <xdr:twoCellAnchor editAs="oneCell">
    <xdr:from>
      <xdr:col>0</xdr:col>
      <xdr:colOff>19051</xdr:colOff>
      <xdr:row>52</xdr:row>
      <xdr:rowOff>76200</xdr:rowOff>
    </xdr:from>
    <xdr:to>
      <xdr:col>6</xdr:col>
      <xdr:colOff>600075</xdr:colOff>
      <xdr:row>70</xdr:row>
      <xdr:rowOff>121390</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rotWithShape="1">
        <a:blip xmlns:r="http://schemas.openxmlformats.org/officeDocument/2006/relationships" r:embed="rId2"/>
        <a:srcRect l="13127" t="33449" r="14990" b="10767"/>
        <a:stretch/>
      </xdr:blipFill>
      <xdr:spPr>
        <a:xfrm>
          <a:off x="19051" y="9420225"/>
          <a:ext cx="9791699" cy="4274290"/>
        </a:xfrm>
        <a:prstGeom prst="rect">
          <a:avLst/>
        </a:prstGeom>
      </xdr:spPr>
    </xdr:pic>
    <xdr:clientData/>
  </xdr:twoCellAnchor>
  <xdr:twoCellAnchor editAs="oneCell">
    <xdr:from>
      <xdr:col>3</xdr:col>
      <xdr:colOff>1885950</xdr:colOff>
      <xdr:row>74</xdr:row>
      <xdr:rowOff>180976</xdr:rowOff>
    </xdr:from>
    <xdr:to>
      <xdr:col>9</xdr:col>
      <xdr:colOff>149626</xdr:colOff>
      <xdr:row>85</xdr:row>
      <xdr:rowOff>38100</xdr:rowOff>
    </xdr:to>
    <xdr:pic>
      <xdr:nvPicPr>
        <xdr:cNvPr id="4" name="Imagen 3">
          <a:extLst>
            <a:ext uri="{FF2B5EF4-FFF2-40B4-BE49-F238E27FC236}">
              <a16:creationId xmlns:a16="http://schemas.microsoft.com/office/drawing/2014/main" xmlns="" id="{00000000-0008-0000-0200-000004000000}"/>
            </a:ext>
          </a:extLst>
        </xdr:cNvPr>
        <xdr:cNvPicPr>
          <a:picLocks noChangeAspect="1"/>
        </xdr:cNvPicPr>
      </xdr:nvPicPr>
      <xdr:blipFill rotWithShape="1">
        <a:blip xmlns:r="http://schemas.openxmlformats.org/officeDocument/2006/relationships" r:embed="rId3"/>
        <a:srcRect l="28441" t="36782" r="29740" b="32659"/>
        <a:stretch/>
      </xdr:blipFill>
      <xdr:spPr>
        <a:xfrm>
          <a:off x="7210425" y="18192751"/>
          <a:ext cx="4750201" cy="1952624"/>
        </a:xfrm>
        <a:prstGeom prst="rect">
          <a:avLst/>
        </a:prstGeom>
      </xdr:spPr>
    </xdr:pic>
    <xdr:clientData/>
  </xdr:twoCellAnchor>
  <xdr:twoCellAnchor editAs="oneCell">
    <xdr:from>
      <xdr:col>0</xdr:col>
      <xdr:colOff>1</xdr:colOff>
      <xdr:row>71</xdr:row>
      <xdr:rowOff>171450</xdr:rowOff>
    </xdr:from>
    <xdr:to>
      <xdr:col>3</xdr:col>
      <xdr:colOff>1800226</xdr:colOff>
      <xdr:row>97</xdr:row>
      <xdr:rowOff>106729</xdr:rowOff>
    </xdr:to>
    <xdr:pic>
      <xdr:nvPicPr>
        <xdr:cNvPr id="5" name="Imagen 4">
          <a:extLst>
            <a:ext uri="{FF2B5EF4-FFF2-40B4-BE49-F238E27FC236}">
              <a16:creationId xmlns:a16="http://schemas.microsoft.com/office/drawing/2014/main" xmlns="" id="{00000000-0008-0000-0200-000005000000}"/>
            </a:ext>
          </a:extLst>
        </xdr:cNvPr>
        <xdr:cNvPicPr>
          <a:picLocks noChangeAspect="1"/>
        </xdr:cNvPicPr>
      </xdr:nvPicPr>
      <xdr:blipFill rotWithShape="1">
        <a:blip xmlns:r="http://schemas.openxmlformats.org/officeDocument/2006/relationships" r:embed="rId4"/>
        <a:srcRect l="16127" t="9890" r="19553" b="11655"/>
        <a:stretch/>
      </xdr:blipFill>
      <xdr:spPr>
        <a:xfrm>
          <a:off x="1" y="17611725"/>
          <a:ext cx="7124700" cy="4888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803461</xdr:colOff>
      <xdr:row>0</xdr:row>
      <xdr:rowOff>33057</xdr:rowOff>
    </xdr:from>
    <xdr:ext cx="756957" cy="879101"/>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361" y="33057"/>
          <a:ext cx="756957" cy="879101"/>
        </a:xfrm>
        <a:prstGeom prst="rect">
          <a:avLst/>
        </a:prstGeom>
        <a:noFill/>
        <a:ln>
          <a:noFill/>
        </a:ln>
      </xdr:spPr>
    </xdr:pic>
    <xdr:clientData/>
  </xdr:oneCellAnchor>
  <xdr:oneCellAnchor>
    <xdr:from>
      <xdr:col>5</xdr:col>
      <xdr:colOff>11205</xdr:colOff>
      <xdr:row>7</xdr:row>
      <xdr:rowOff>355228</xdr:rowOff>
    </xdr:from>
    <xdr:ext cx="4919383" cy="4699522"/>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rotWithShape="1">
        <a:blip xmlns:r="http://schemas.openxmlformats.org/officeDocument/2006/relationships" r:embed="rId2"/>
        <a:srcRect l="25502" t="14335" r="36493" b="28658"/>
        <a:stretch/>
      </xdr:blipFill>
      <xdr:spPr>
        <a:xfrm>
          <a:off x="11228293" y="2192993"/>
          <a:ext cx="4919383" cy="4699522"/>
        </a:xfrm>
        <a:prstGeom prst="rect">
          <a:avLst/>
        </a:prstGeom>
      </xdr:spPr>
    </xdr:pic>
    <xdr:clientData/>
  </xdr:oneCellAnchor>
  <xdr:oneCellAnchor>
    <xdr:from>
      <xdr:col>10</xdr:col>
      <xdr:colOff>672353</xdr:colOff>
      <xdr:row>12</xdr:row>
      <xdr:rowOff>11206</xdr:rowOff>
    </xdr:from>
    <xdr:ext cx="1792941" cy="1809751"/>
    <xdr:pic>
      <xdr:nvPicPr>
        <xdr:cNvPr id="4" name="Imagen 3">
          <a:extLst>
            <a:ext uri="{FF2B5EF4-FFF2-40B4-BE49-F238E27FC236}">
              <a16:creationId xmlns:a16="http://schemas.microsoft.com/office/drawing/2014/main" xmlns="" id="{00000000-0008-0000-0300-000004000000}"/>
            </a:ext>
          </a:extLst>
        </xdr:cNvPr>
        <xdr:cNvPicPr>
          <a:picLocks noChangeAspect="1"/>
        </xdr:cNvPicPr>
      </xdr:nvPicPr>
      <xdr:blipFill rotWithShape="1">
        <a:blip xmlns:r="http://schemas.openxmlformats.org/officeDocument/2006/relationships" r:embed="rId2"/>
        <a:srcRect l="62507" t="72009" r="26054" b="6877"/>
        <a:stretch/>
      </xdr:blipFill>
      <xdr:spPr>
        <a:xfrm>
          <a:off x="8292353" y="2297206"/>
          <a:ext cx="1792941" cy="1809751"/>
        </a:xfrm>
        <a:prstGeom prst="rect">
          <a:avLst/>
        </a:prstGeom>
      </xdr:spPr>
    </xdr:pic>
    <xdr:clientData/>
  </xdr:oneCellAnchor>
  <xdr:oneCellAnchor>
    <xdr:from>
      <xdr:col>4</xdr:col>
      <xdr:colOff>381000</xdr:colOff>
      <xdr:row>18</xdr:row>
      <xdr:rowOff>100852</xdr:rowOff>
    </xdr:from>
    <xdr:ext cx="7788088" cy="3630707"/>
    <xdr:pic>
      <xdr:nvPicPr>
        <xdr:cNvPr id="5" name="3 Imagen">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3"/>
        <a:stretch>
          <a:fillRect/>
        </a:stretch>
      </xdr:blipFill>
      <xdr:spPr>
        <a:xfrm>
          <a:off x="3429000" y="3529852"/>
          <a:ext cx="7788088" cy="3630707"/>
        </a:xfrm>
        <a:prstGeom prst="rect">
          <a:avLst/>
        </a:prstGeom>
      </xdr:spPr>
    </xdr:pic>
    <xdr:clientData/>
  </xdr:oneCellAnchor>
  <xdr:twoCellAnchor editAs="oneCell">
    <xdr:from>
      <xdr:col>3</xdr:col>
      <xdr:colOff>1842806</xdr:colOff>
      <xdr:row>26</xdr:row>
      <xdr:rowOff>238126</xdr:rowOff>
    </xdr:from>
    <xdr:to>
      <xdr:col>5</xdr:col>
      <xdr:colOff>743537</xdr:colOff>
      <xdr:row>34</xdr:row>
      <xdr:rowOff>16809</xdr:rowOff>
    </xdr:to>
    <xdr:pic>
      <xdr:nvPicPr>
        <xdr:cNvPr id="8" name="Imagen 7">
          <a:extLst>
            <a:ext uri="{FF2B5EF4-FFF2-40B4-BE49-F238E27FC236}">
              <a16:creationId xmlns:a16="http://schemas.microsoft.com/office/drawing/2014/main" xmlns="" id="{00000000-0008-0000-0300-000008000000}"/>
            </a:ext>
          </a:extLst>
        </xdr:cNvPr>
        <xdr:cNvPicPr>
          <a:picLocks noChangeAspect="1"/>
        </xdr:cNvPicPr>
      </xdr:nvPicPr>
      <xdr:blipFill rotWithShape="1">
        <a:blip xmlns:r="http://schemas.openxmlformats.org/officeDocument/2006/relationships" r:embed="rId4"/>
        <a:srcRect l="28441" t="36782" r="29740" b="32659"/>
        <a:stretch/>
      </xdr:blipFill>
      <xdr:spPr>
        <a:xfrm>
          <a:off x="7210424" y="19321744"/>
          <a:ext cx="4750201" cy="1952624"/>
        </a:xfrm>
        <a:prstGeom prst="rect">
          <a:avLst/>
        </a:prstGeom>
      </xdr:spPr>
    </xdr:pic>
    <xdr:clientData/>
  </xdr:twoCellAnchor>
  <xdr:twoCellAnchor editAs="oneCell">
    <xdr:from>
      <xdr:col>0</xdr:col>
      <xdr:colOff>0</xdr:colOff>
      <xdr:row>24</xdr:row>
      <xdr:rowOff>0</xdr:rowOff>
    </xdr:from>
    <xdr:to>
      <xdr:col>3</xdr:col>
      <xdr:colOff>1757082</xdr:colOff>
      <xdr:row>39</xdr:row>
      <xdr:rowOff>730897</xdr:rowOff>
    </xdr:to>
    <xdr:pic>
      <xdr:nvPicPr>
        <xdr:cNvPr id="9" name="Imagen 8">
          <a:extLst>
            <a:ext uri="{FF2B5EF4-FFF2-40B4-BE49-F238E27FC236}">
              <a16:creationId xmlns:a16="http://schemas.microsoft.com/office/drawing/2014/main" xmlns="" id="{00000000-0008-0000-0300-000009000000}"/>
            </a:ext>
          </a:extLst>
        </xdr:cNvPr>
        <xdr:cNvPicPr>
          <a:picLocks noChangeAspect="1"/>
        </xdr:cNvPicPr>
      </xdr:nvPicPr>
      <xdr:blipFill rotWithShape="1">
        <a:blip xmlns:r="http://schemas.openxmlformats.org/officeDocument/2006/relationships" r:embed="rId5"/>
        <a:srcRect l="16127" t="9890" r="19553" b="11655"/>
        <a:stretch/>
      </xdr:blipFill>
      <xdr:spPr>
        <a:xfrm>
          <a:off x="0" y="18702618"/>
          <a:ext cx="7124700" cy="48882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ueba/Desktop/4_Gesti&#243;n%20Normativa-envi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eba/Documents/ACTUALIZACI&#211;N%20RIESGOS_2021/5%20Mapa_Riesgos_Elecciones%20de%20Servidores%20P&#250;bli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eba/Documents/ACTUALIZACI&#211;N%20RIESGOS_2021/6_Control%20Pol&#237;t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ueba/Documents/ACTUALIZACI&#211;N%20RIESGOS_2021/8_Talento%20Huma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rueba/Documents/ACTUALIZACI&#211;N%20RIESGOS_2021/9_Gesti&#243;n%20Jur&#237;d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rueba/Documents/ACTUALIZACI&#211;N%20RIESGOS_2021/11_Recursos%20F&#237;sic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rueba/Documents/ACTUALIZACI&#211;N%20RIESGOS_2021/12_Sistemas%20y%20Seguridad%20de%20la%20Informaci&#243;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rueba/Documents/ACTUALIZACI&#211;N%20RIESGOS_2021/14%20Mapa_Riesgos%20Gesti&#243;n%20Financie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rueba/Documents/ACTUALIZACI&#211;N%20RIESGOS_2021/15_%20Mapa_RiesgosGesti&#243;n%20Evaluaci&#243;n%20Inde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T127"/>
  <sheetViews>
    <sheetView tabSelected="1" zoomScale="80" zoomScaleNormal="80" workbookViewId="0">
      <selection activeCell="A4" sqref="A4:AO7"/>
    </sheetView>
  </sheetViews>
  <sheetFormatPr baseColWidth="10" defaultColWidth="11.42578125" defaultRowHeight="14.25" x14ac:dyDescent="0.25"/>
  <cols>
    <col min="1" max="1" width="9.85546875" style="15" customWidth="1"/>
    <col min="2" max="2" width="17.85546875" style="15" customWidth="1"/>
    <col min="3" max="3" width="28.7109375" style="15" hidden="1" customWidth="1"/>
    <col min="4" max="4" width="18.5703125" style="15" hidden="1" customWidth="1"/>
    <col min="5" max="5" width="17.28515625" style="15" hidden="1" customWidth="1"/>
    <col min="6" max="6" width="3.28515625" style="15" hidden="1" customWidth="1"/>
    <col min="7" max="7" width="33" style="15" customWidth="1"/>
    <col min="8" max="8" width="34" style="15" customWidth="1"/>
    <col min="9" max="9" width="23.85546875" style="15" hidden="1" customWidth="1"/>
    <col min="10" max="10" width="14" style="15" customWidth="1"/>
    <col min="11" max="11" width="16.140625" style="16" customWidth="1"/>
    <col min="12" max="12" width="11" style="16" customWidth="1"/>
    <col min="13" max="13" width="5.42578125" style="15" customWidth="1"/>
    <col min="14" max="14" width="12.140625" style="15" customWidth="1"/>
    <col min="15" max="15" width="58.28515625" style="15" hidden="1" customWidth="1"/>
    <col min="16" max="16" width="13.42578125" style="15" hidden="1" customWidth="1"/>
    <col min="17" max="17" width="14.140625" style="15" hidden="1" customWidth="1"/>
    <col min="18" max="18" width="13.28515625" style="15" hidden="1" customWidth="1"/>
    <col min="19" max="32" width="12.5703125" style="15" hidden="1" customWidth="1"/>
    <col min="33" max="33" width="13.85546875" style="15" hidden="1" customWidth="1"/>
    <col min="34" max="34" width="12.42578125" style="15" hidden="1" customWidth="1"/>
    <col min="35" max="35" width="19.5703125" style="15" customWidth="1"/>
    <col min="36" max="37" width="16.5703125" style="15" customWidth="1"/>
    <col min="38" max="38" width="5.5703125" style="15" customWidth="1"/>
    <col min="39" max="40" width="25.28515625" style="15" customWidth="1"/>
    <col min="41" max="41" width="20.7109375" style="15" customWidth="1"/>
    <col min="42" max="43" width="27" style="15" hidden="1" customWidth="1"/>
    <col min="44" max="44" width="20.7109375" style="15" hidden="1" customWidth="1"/>
    <col min="45" max="45" width="26.85546875" style="15" hidden="1" customWidth="1"/>
    <col min="46" max="46" width="20.7109375" style="15" hidden="1" customWidth="1"/>
    <col min="47" max="16384" width="11.42578125" style="15"/>
  </cols>
  <sheetData>
    <row r="1" spans="1:46" ht="30" customHeight="1" x14ac:dyDescent="0.25">
      <c r="A1" s="178"/>
      <c r="B1" s="178"/>
      <c r="C1" s="178"/>
      <c r="D1" s="179" t="s">
        <v>117</v>
      </c>
      <c r="E1" s="179"/>
      <c r="F1" s="179"/>
      <c r="G1" s="179"/>
      <c r="H1" s="179"/>
      <c r="I1" s="179"/>
      <c r="J1" s="179"/>
      <c r="K1" s="179"/>
      <c r="L1" s="179"/>
      <c r="M1" s="171" t="s">
        <v>119</v>
      </c>
      <c r="N1" s="171"/>
      <c r="O1" s="171"/>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8"/>
      <c r="AS1" s="18"/>
      <c r="AT1" s="18"/>
    </row>
    <row r="2" spans="1:46" ht="30" customHeight="1" x14ac:dyDescent="0.25">
      <c r="A2" s="178"/>
      <c r="B2" s="178"/>
      <c r="C2" s="178"/>
      <c r="D2" s="172" t="s">
        <v>368</v>
      </c>
      <c r="E2" s="173"/>
      <c r="F2" s="173"/>
      <c r="G2" s="173"/>
      <c r="H2" s="173"/>
      <c r="I2" s="173"/>
      <c r="J2" s="173"/>
      <c r="K2" s="173"/>
      <c r="L2" s="174"/>
      <c r="M2" s="171" t="s">
        <v>221</v>
      </c>
      <c r="N2" s="171"/>
      <c r="O2" s="171"/>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8"/>
      <c r="AS2" s="18"/>
      <c r="AT2" s="18"/>
    </row>
    <row r="3" spans="1:46" ht="30" customHeight="1" x14ac:dyDescent="0.25">
      <c r="A3" s="178"/>
      <c r="B3" s="178"/>
      <c r="C3" s="178"/>
      <c r="D3" s="175"/>
      <c r="E3" s="176"/>
      <c r="F3" s="176"/>
      <c r="G3" s="176"/>
      <c r="H3" s="176"/>
      <c r="I3" s="176"/>
      <c r="J3" s="176"/>
      <c r="K3" s="176"/>
      <c r="L3" s="177"/>
      <c r="M3" s="171" t="s">
        <v>228</v>
      </c>
      <c r="N3" s="171"/>
      <c r="O3" s="171"/>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8"/>
      <c r="AS3" s="18"/>
      <c r="AT3" s="18"/>
    </row>
    <row r="4" spans="1:46" ht="15" x14ac:dyDescent="0.25">
      <c r="A4" s="183" t="s">
        <v>406</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4"/>
      <c r="AQ4" s="14"/>
      <c r="AR4" s="18"/>
      <c r="AS4" s="18"/>
      <c r="AT4" s="18"/>
    </row>
    <row r="5" spans="1:46" ht="23.25" hidden="1" customHeight="1" x14ac:dyDescent="0.2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
      <c r="AQ5" s="18"/>
      <c r="AR5" s="18"/>
      <c r="AS5" s="18"/>
      <c r="AT5" s="18"/>
    </row>
    <row r="6" spans="1:46" ht="60" hidden="1" customHeight="1" x14ac:dyDescent="0.25">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row>
    <row r="7" spans="1:46" s="16" customFormat="1" x14ac:dyDescent="0.2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row>
    <row r="8" spans="1:46" ht="15" customHeight="1" x14ac:dyDescent="0.25">
      <c r="C8" s="163" t="s">
        <v>14</v>
      </c>
      <c r="D8" s="164"/>
      <c r="E8" s="164"/>
      <c r="F8" s="168" t="s">
        <v>15</v>
      </c>
      <c r="G8" s="168"/>
      <c r="H8" s="168"/>
      <c r="I8" s="168"/>
      <c r="J8" s="169"/>
      <c r="K8" s="165" t="s">
        <v>128</v>
      </c>
      <c r="L8" s="166"/>
      <c r="M8" s="166"/>
      <c r="N8" s="167"/>
      <c r="O8" s="181" t="s">
        <v>16</v>
      </c>
      <c r="P8" s="182"/>
      <c r="Q8" s="182"/>
      <c r="R8" s="182"/>
      <c r="S8" s="182"/>
      <c r="T8" s="182"/>
      <c r="U8" s="182"/>
      <c r="V8" s="182"/>
      <c r="W8" s="182"/>
      <c r="X8" s="182"/>
      <c r="Y8" s="182"/>
      <c r="Z8" s="182"/>
      <c r="AA8" s="182"/>
      <c r="AB8" s="182"/>
      <c r="AC8" s="182"/>
      <c r="AD8" s="182"/>
      <c r="AE8" s="182"/>
      <c r="AF8" s="182"/>
      <c r="AG8" s="182"/>
      <c r="AH8" s="182"/>
      <c r="AI8" s="71"/>
      <c r="AJ8" s="180" t="s">
        <v>3</v>
      </c>
      <c r="AK8" s="180"/>
      <c r="AL8" s="180"/>
      <c r="AM8" s="180"/>
      <c r="AN8" s="72"/>
      <c r="AO8" s="170" t="s">
        <v>114</v>
      </c>
      <c r="AP8" s="170"/>
      <c r="AQ8" s="170"/>
      <c r="AR8" s="170"/>
      <c r="AS8" s="170"/>
      <c r="AT8" s="170"/>
    </row>
    <row r="9" spans="1:46" s="17" customFormat="1" ht="15" customHeight="1" x14ac:dyDescent="0.25">
      <c r="A9" s="162" t="s">
        <v>131</v>
      </c>
      <c r="B9" s="216" t="s">
        <v>6</v>
      </c>
      <c r="C9" s="162" t="s">
        <v>204</v>
      </c>
      <c r="D9" s="162" t="s">
        <v>46</v>
      </c>
      <c r="E9" s="162"/>
      <c r="F9" s="162" t="s">
        <v>116</v>
      </c>
      <c r="G9" s="162" t="s">
        <v>115</v>
      </c>
      <c r="H9" s="162" t="s">
        <v>12</v>
      </c>
      <c r="I9" s="162" t="s">
        <v>186</v>
      </c>
      <c r="J9" s="162" t="s">
        <v>45</v>
      </c>
      <c r="K9" s="162" t="s">
        <v>20</v>
      </c>
      <c r="L9" s="162" t="s">
        <v>21</v>
      </c>
      <c r="M9" s="162" t="s">
        <v>7</v>
      </c>
      <c r="N9" s="162"/>
      <c r="O9" s="162" t="s">
        <v>8</v>
      </c>
      <c r="P9" s="162" t="s">
        <v>9</v>
      </c>
      <c r="Q9" s="162" t="s">
        <v>88</v>
      </c>
      <c r="R9" s="162" t="s">
        <v>89</v>
      </c>
      <c r="S9" s="162" t="s">
        <v>30</v>
      </c>
      <c r="T9" s="162"/>
      <c r="U9" s="162"/>
      <c r="V9" s="162"/>
      <c r="W9" s="162"/>
      <c r="X9" s="162"/>
      <c r="Y9" s="162"/>
      <c r="Z9" s="162"/>
      <c r="AA9" s="162"/>
      <c r="AB9" s="162"/>
      <c r="AC9" s="162"/>
      <c r="AD9" s="162"/>
      <c r="AE9" s="162"/>
      <c r="AF9" s="162"/>
      <c r="AG9" s="184" t="s">
        <v>39</v>
      </c>
      <c r="AH9" s="184" t="s">
        <v>85</v>
      </c>
      <c r="AI9" s="218" t="s">
        <v>378</v>
      </c>
      <c r="AJ9" s="162" t="s">
        <v>53</v>
      </c>
      <c r="AK9" s="162" t="s">
        <v>54</v>
      </c>
      <c r="AL9" s="162" t="s">
        <v>10</v>
      </c>
      <c r="AM9" s="162"/>
      <c r="AN9" s="128" t="s">
        <v>378</v>
      </c>
      <c r="AO9" s="162" t="s">
        <v>11</v>
      </c>
      <c r="AP9" s="162" t="s">
        <v>129</v>
      </c>
      <c r="AQ9" s="162" t="s">
        <v>101</v>
      </c>
      <c r="AR9" s="162" t="s">
        <v>29</v>
      </c>
      <c r="AS9" s="162" t="s">
        <v>102</v>
      </c>
      <c r="AT9" s="162" t="s">
        <v>103</v>
      </c>
    </row>
    <row r="10" spans="1:46" s="17" customFormat="1" ht="106.5" customHeight="1" x14ac:dyDescent="0.25">
      <c r="A10" s="162" t="s">
        <v>52</v>
      </c>
      <c r="B10" s="217"/>
      <c r="C10" s="162"/>
      <c r="D10" s="50" t="s">
        <v>47</v>
      </c>
      <c r="E10" s="50" t="s">
        <v>48</v>
      </c>
      <c r="F10" s="162"/>
      <c r="G10" s="162"/>
      <c r="H10" s="162"/>
      <c r="I10" s="162"/>
      <c r="J10" s="162"/>
      <c r="K10" s="162"/>
      <c r="L10" s="162"/>
      <c r="M10" s="162"/>
      <c r="N10" s="162"/>
      <c r="O10" s="162"/>
      <c r="P10" s="162"/>
      <c r="Q10" s="162"/>
      <c r="R10" s="162"/>
      <c r="S10" s="162" t="s">
        <v>62</v>
      </c>
      <c r="T10" s="162"/>
      <c r="U10" s="162" t="s">
        <v>63</v>
      </c>
      <c r="V10" s="162"/>
      <c r="W10" s="162" t="s">
        <v>64</v>
      </c>
      <c r="X10" s="162"/>
      <c r="Y10" s="162" t="s">
        <v>65</v>
      </c>
      <c r="Z10" s="162"/>
      <c r="AA10" s="162" t="s">
        <v>66</v>
      </c>
      <c r="AB10" s="162"/>
      <c r="AC10" s="162" t="s">
        <v>67</v>
      </c>
      <c r="AD10" s="162"/>
      <c r="AE10" s="162" t="s">
        <v>68</v>
      </c>
      <c r="AF10" s="162"/>
      <c r="AG10" s="184"/>
      <c r="AH10" s="184"/>
      <c r="AI10" s="219"/>
      <c r="AJ10" s="162"/>
      <c r="AK10" s="162"/>
      <c r="AL10" s="162"/>
      <c r="AM10" s="162"/>
      <c r="AN10" s="129"/>
      <c r="AO10" s="162"/>
      <c r="AP10" s="162"/>
      <c r="AQ10" s="162"/>
      <c r="AR10" s="162"/>
      <c r="AS10" s="162"/>
      <c r="AT10" s="162"/>
    </row>
    <row r="11" spans="1:46" s="83" customFormat="1" ht="129.75" customHeight="1" x14ac:dyDescent="0.25">
      <c r="A11" s="117">
        <v>1</v>
      </c>
      <c r="B11" s="123" t="s">
        <v>135</v>
      </c>
      <c r="C11" s="76"/>
      <c r="D11" s="77"/>
      <c r="E11" s="77" t="s">
        <v>105</v>
      </c>
      <c r="F11" s="77"/>
      <c r="G11" s="75" t="s">
        <v>229</v>
      </c>
      <c r="H11" s="79" t="s">
        <v>230</v>
      </c>
      <c r="I11" s="80" t="s">
        <v>231</v>
      </c>
      <c r="J11" s="68" t="s">
        <v>18</v>
      </c>
      <c r="K11" s="69">
        <v>2</v>
      </c>
      <c r="L11" s="69">
        <v>4</v>
      </c>
      <c r="M11" s="81">
        <f>K11*L11</f>
        <v>8</v>
      </c>
      <c r="N11" s="70" t="str">
        <f>IF(AND(K11=1,L11=1),"BAJO",IF(AND(K11=1,L11=2),"BAJO",IF(AND(K11=2,L11=1),"BAJO",IF(AND(K11=2,L11=2),"BAJO",IF(AND(K11=3,L11=1),"BAJO",IF(AND(K11=1,L11=3),"MODERADO",IF(AND(K11=2,L11=3),"MODERADO",IF(AND(K11=3,L11=2),"MODERADO",IF(AND(K11=4,L11=1),"MODERADO",IF(AND(K11=5,L11=1),"ALTO",IF(AND(K11=4,L11=2),"ALTO",IF(AND(K11=3,L11=3),"ALTO",IF(AND(K11=2,L11=4),"ALTO",IF(AND(K11=1,L11=4),"ALTO",IF(AND(K11=5,L11=2),"ALTO",IF(AND(K11=4,L11=3),"ALTO","EXTREMO"))))))))))))))))</f>
        <v>ALTO</v>
      </c>
      <c r="O11" s="68" t="s">
        <v>235</v>
      </c>
      <c r="P11" s="67" t="s">
        <v>0</v>
      </c>
      <c r="Q11" s="77" t="s">
        <v>187</v>
      </c>
      <c r="R11" s="77" t="s">
        <v>189</v>
      </c>
      <c r="S11" s="68" t="s">
        <v>145</v>
      </c>
      <c r="T11" s="77">
        <f>IF(S11="Asignado",Listas!$C$30,Listas!$C$31)</f>
        <v>15</v>
      </c>
      <c r="U11" s="68" t="s">
        <v>70</v>
      </c>
      <c r="V11" s="77">
        <f>IF(U11="Adecuado",Listas!$C$32,Listas!$C$33)</f>
        <v>15</v>
      </c>
      <c r="W11" s="68" t="s">
        <v>72</v>
      </c>
      <c r="X11" s="77">
        <f>IF(W11="Oportuna",Listas!$C$34,Listas!$C$35)</f>
        <v>15</v>
      </c>
      <c r="Y11" s="68" t="s">
        <v>80</v>
      </c>
      <c r="Z11" s="77">
        <f>IF(Y11="Prevenir",Listas!$C$36,IF(Y11="Detectar",Listas!$C$37,Listas!$C$38))</f>
        <v>15</v>
      </c>
      <c r="AA11" s="68" t="s">
        <v>75</v>
      </c>
      <c r="AB11" s="77">
        <f>IF(AA11="Confiable",Listas!$C$39,Listas!$C$40)</f>
        <v>15</v>
      </c>
      <c r="AC11" s="68" t="s">
        <v>77</v>
      </c>
      <c r="AD11" s="77">
        <f>IF(AC11="Se investigan y resuelven oportunamente",Listas!$C$41,Listas!$C$42)</f>
        <v>15</v>
      </c>
      <c r="AE11" s="68" t="s">
        <v>79</v>
      </c>
      <c r="AF11" s="77">
        <f>IF(AE11="Completa",Listas!$C$43,IF(AE11="Incompleta",Listas!$C$44,Listas!$C$45))</f>
        <v>10</v>
      </c>
      <c r="AG11" s="67">
        <f>T11+V11+X11+Z11+AB11+AD11+AF11</f>
        <v>100</v>
      </c>
      <c r="AH11" s="67">
        <f>AVERAGE(AG11:AG11)</f>
        <v>100</v>
      </c>
      <c r="AI11" s="122" t="s">
        <v>381</v>
      </c>
      <c r="AJ11" s="67">
        <v>1</v>
      </c>
      <c r="AK11" s="67">
        <v>4</v>
      </c>
      <c r="AL11" s="81">
        <f>AJ11*AK11</f>
        <v>4</v>
      </c>
      <c r="AM11" s="70" t="str">
        <f>IF(AND(AJ11=1,AK11=1),"BAJO",IF(AND(AJ11=1,AK11=2),"BAJO",IF(AND(AJ11=2,AK11=1),"BAJO",IF(AND(AJ11=2,AK11=2),"BAJO",IF(AND(AJ11=3,AK11=1),"BAJO",IF(AND(AJ11=1,AK11=3),"MODERADO",IF(AND(AJ11=2,AK11=3),"MODERADO",IF(AND(AJ11=3,AK11=2),"MODERADO",IF(AND(AJ11=4,AK11=1),"MODERADO",IF(AND(AJ11=5,AK11=1),"ALTO",IF(AND(AJ11=4,AK11=2),"ALTO",IF(AND(AJ11=3,AK11=3),"ALTO",IF(AND(AJ11=2,AK11=4),"ALTO",IF(AND(AJ11=1,AK11=4),"ALTO",IF(AND(AJ11=5,AK11=2),"ALTO",IF(AND(AJ11=4,AK11=3),"ALTO","EXTREMO"))))))))))))))))</f>
        <v>ALTO</v>
      </c>
      <c r="AN11" s="127" t="s">
        <v>382</v>
      </c>
      <c r="AO11" s="77" t="s">
        <v>111</v>
      </c>
      <c r="AP11" s="68" t="s">
        <v>236</v>
      </c>
      <c r="AQ11" s="68" t="s">
        <v>232</v>
      </c>
      <c r="AR11" s="68" t="s">
        <v>234</v>
      </c>
      <c r="AS11" s="82" t="s">
        <v>237</v>
      </c>
      <c r="AT11" s="68" t="s">
        <v>233</v>
      </c>
    </row>
    <row r="12" spans="1:46" s="83" customFormat="1" ht="80.099999999999994" customHeight="1" x14ac:dyDescent="0.25">
      <c r="A12" s="143">
        <v>2</v>
      </c>
      <c r="B12" s="128" t="s">
        <v>137</v>
      </c>
      <c r="C12" s="146" t="s">
        <v>269</v>
      </c>
      <c r="D12" s="77" t="s">
        <v>55</v>
      </c>
      <c r="E12" s="140"/>
      <c r="F12" s="140"/>
      <c r="G12" s="75" t="s">
        <v>239</v>
      </c>
      <c r="H12" s="155" t="s">
        <v>240</v>
      </c>
      <c r="I12" s="158" t="s">
        <v>241</v>
      </c>
      <c r="J12" s="140" t="s">
        <v>18</v>
      </c>
      <c r="K12" s="143">
        <v>1</v>
      </c>
      <c r="L12" s="143">
        <v>3</v>
      </c>
      <c r="M12" s="130">
        <f t="shared" ref="M12" si="0">K12*L12</f>
        <v>3</v>
      </c>
      <c r="N12" s="130" t="str">
        <f t="shared" ref="N12" si="1">IF(AND(K12=1,L12=1),"BAJO",IF(AND(K12=1,L12=2),"BAJO",IF(AND(K12=2,L12=1),"BAJO",IF(AND(K12=2,L12=2),"BAJO",IF(AND(K12=3,L12=1),"BAJO",IF(AND(K12=1,L12=3),"MODERADO",IF(AND(K12=2,L12=3),"MODERADO",IF(AND(K12=3,L12=2),"MODERADO",IF(AND(K12=4,L12=1),"MODERADO",IF(AND(K12=5,L12=1),"ALTO",IF(AND(K12=4,L12=2),"ALTO",IF(AND(K12=3,L12=3),"ALTO",IF(AND(K12=2,L12=4),"ALTO",IF(AND(K12=1,L12=4),"ALTO",IF(AND(K12=5,L12=2),"ALTO",IF(AND(K12=4,L12=3),"ALTO","EXTREMO"))))))))))))))))</f>
        <v>MODERADO</v>
      </c>
      <c r="O12" s="155" t="s">
        <v>242</v>
      </c>
      <c r="P12" s="143" t="s">
        <v>0</v>
      </c>
      <c r="Q12" s="140" t="s">
        <v>187</v>
      </c>
      <c r="R12" s="140" t="s">
        <v>189</v>
      </c>
      <c r="S12" s="140" t="s">
        <v>145</v>
      </c>
      <c r="T12" s="140">
        <f>IF(S12="Asignado",[1]Listas!$C$30,[1]Listas!$C$31)</f>
        <v>15</v>
      </c>
      <c r="U12" s="140" t="s">
        <v>70</v>
      </c>
      <c r="V12" s="140">
        <f>IF(U12="Adecuado",[1]Listas!$C$32,[1]Listas!$C$33)</f>
        <v>15</v>
      </c>
      <c r="W12" s="140" t="s">
        <v>72</v>
      </c>
      <c r="X12" s="140">
        <f>IF(W12="Oportuna",[1]Listas!$C$34,[1]Listas!$C$35)</f>
        <v>15</v>
      </c>
      <c r="Y12" s="140" t="s">
        <v>80</v>
      </c>
      <c r="Z12" s="140">
        <f>IF(Y12="Prevenir",[1]Listas!$C$36,IF(Y12="Detectar",[1]Listas!$C$37,[1]Listas!$C$38))</f>
        <v>15</v>
      </c>
      <c r="AA12" s="140" t="s">
        <v>75</v>
      </c>
      <c r="AB12" s="140">
        <f>IF(AA12="Confiable",[1]Listas!$C$39,[1]Listas!$C$40)</f>
        <v>15</v>
      </c>
      <c r="AC12" s="140" t="s">
        <v>77</v>
      </c>
      <c r="AD12" s="140">
        <f>IF(AC12="Se investigan y resuelven oportunamente",[1]Listas!$C$41,[1]Listas!$C$42)</f>
        <v>15</v>
      </c>
      <c r="AE12" s="140" t="s">
        <v>79</v>
      </c>
      <c r="AF12" s="140">
        <f>IF(AE12="Completa",[1]Listas!$C$43,IF(AE12="Incompleta",[1]Listas!$C$44,[1]Listas!$C$45))</f>
        <v>10</v>
      </c>
      <c r="AG12" s="143">
        <f t="shared" ref="AG12:AG16" si="2">T12+V12+X12+Z12+AB12+AD12+AF12</f>
        <v>100</v>
      </c>
      <c r="AH12" s="143">
        <f t="shared" ref="AH12" si="3">AVERAGE(AG12:AG12)</f>
        <v>100</v>
      </c>
      <c r="AI12" s="135" t="s">
        <v>383</v>
      </c>
      <c r="AJ12" s="143">
        <v>1</v>
      </c>
      <c r="AK12" s="143">
        <v>3</v>
      </c>
      <c r="AL12" s="130">
        <f t="shared" ref="AL12" si="4">AJ12*AK12</f>
        <v>3</v>
      </c>
      <c r="AM12" s="130" t="str">
        <f t="shared" ref="AM12" si="5">IF(AND(AJ12=1,AK12=1),"BAJO",IF(AND(AJ12=1,AK12=2),"BAJO",IF(AND(AJ12=2,AK12=1),"BAJO",IF(AND(AJ12=2,AK12=2),"BAJO",IF(AND(AJ12=3,AK12=1),"BAJO",IF(AND(AJ12=1,AK12=3),"MODERADO",IF(AND(AJ12=2,AK12=3),"MODERADO",IF(AND(AJ12=3,AK12=2),"MODERADO",IF(AND(AJ12=4,AK12=1),"MODERADO",IF(AND(AJ12=5,AK12=1),"ALTO",IF(AND(AJ12=4,AK12=2),"ALTO",IF(AND(AJ12=3,AK12=3),"ALTO",IF(AND(AJ12=2,AK12=4),"ALTO",IF(AND(AJ12=1,AK12=4),"ALTO",IF(AND(AJ12=5,AK12=2),"ALTO",IF(AND(AJ12=4,AK12=3),"ALTO","EXTREMO"))))))))))))))))</f>
        <v>MODERADO</v>
      </c>
      <c r="AN12" s="135" t="s">
        <v>384</v>
      </c>
      <c r="AO12" s="140" t="s">
        <v>111</v>
      </c>
      <c r="AP12" s="140" t="s">
        <v>243</v>
      </c>
      <c r="AQ12" s="140" t="s">
        <v>244</v>
      </c>
      <c r="AR12" s="140" t="s">
        <v>245</v>
      </c>
      <c r="AS12" s="140" t="s">
        <v>246</v>
      </c>
      <c r="AT12" s="140" t="s">
        <v>247</v>
      </c>
    </row>
    <row r="13" spans="1:46" s="83" customFormat="1" ht="67.5" customHeight="1" x14ac:dyDescent="0.25">
      <c r="A13" s="144"/>
      <c r="B13" s="161"/>
      <c r="C13" s="160"/>
      <c r="D13" s="77" t="s">
        <v>57</v>
      </c>
      <c r="E13" s="141"/>
      <c r="F13" s="141"/>
      <c r="G13" s="124" t="s">
        <v>248</v>
      </c>
      <c r="H13" s="156"/>
      <c r="I13" s="185"/>
      <c r="J13" s="141"/>
      <c r="K13" s="144"/>
      <c r="L13" s="144"/>
      <c r="M13" s="148"/>
      <c r="N13" s="148"/>
      <c r="O13" s="156"/>
      <c r="P13" s="144"/>
      <c r="Q13" s="141"/>
      <c r="R13" s="141"/>
      <c r="S13" s="141"/>
      <c r="T13" s="141"/>
      <c r="U13" s="141"/>
      <c r="V13" s="141"/>
      <c r="W13" s="141"/>
      <c r="X13" s="141"/>
      <c r="Y13" s="141"/>
      <c r="Z13" s="141"/>
      <c r="AA13" s="141"/>
      <c r="AB13" s="141"/>
      <c r="AC13" s="141"/>
      <c r="AD13" s="141"/>
      <c r="AE13" s="141"/>
      <c r="AF13" s="141"/>
      <c r="AG13" s="144"/>
      <c r="AH13" s="144"/>
      <c r="AI13" s="136"/>
      <c r="AJ13" s="144"/>
      <c r="AK13" s="144"/>
      <c r="AL13" s="148"/>
      <c r="AM13" s="148"/>
      <c r="AN13" s="136"/>
      <c r="AO13" s="141"/>
      <c r="AP13" s="141"/>
      <c r="AQ13" s="141"/>
      <c r="AR13" s="141"/>
      <c r="AS13" s="141"/>
      <c r="AT13" s="141"/>
    </row>
    <row r="14" spans="1:46" s="83" customFormat="1" ht="99.95" customHeight="1" x14ac:dyDescent="0.25">
      <c r="A14" s="145"/>
      <c r="B14" s="161"/>
      <c r="C14" s="147"/>
      <c r="D14" s="77" t="s">
        <v>57</v>
      </c>
      <c r="E14" s="142"/>
      <c r="F14" s="142"/>
      <c r="G14" s="124" t="s">
        <v>249</v>
      </c>
      <c r="H14" s="157"/>
      <c r="I14" s="159"/>
      <c r="J14" s="142"/>
      <c r="K14" s="145"/>
      <c r="L14" s="145"/>
      <c r="M14" s="131"/>
      <c r="N14" s="131"/>
      <c r="O14" s="157"/>
      <c r="P14" s="145"/>
      <c r="Q14" s="142"/>
      <c r="R14" s="142"/>
      <c r="S14" s="142"/>
      <c r="T14" s="142"/>
      <c r="U14" s="142"/>
      <c r="V14" s="142"/>
      <c r="W14" s="142"/>
      <c r="X14" s="142"/>
      <c r="Y14" s="142"/>
      <c r="Z14" s="142"/>
      <c r="AA14" s="142"/>
      <c r="AB14" s="142"/>
      <c r="AC14" s="142"/>
      <c r="AD14" s="142"/>
      <c r="AE14" s="142"/>
      <c r="AF14" s="142"/>
      <c r="AG14" s="145"/>
      <c r="AH14" s="145"/>
      <c r="AI14" s="137"/>
      <c r="AJ14" s="145"/>
      <c r="AK14" s="145"/>
      <c r="AL14" s="131"/>
      <c r="AM14" s="131"/>
      <c r="AN14" s="137"/>
      <c r="AO14" s="142"/>
      <c r="AP14" s="142"/>
      <c r="AQ14" s="142"/>
      <c r="AR14" s="142"/>
      <c r="AS14" s="142"/>
      <c r="AT14" s="142"/>
    </row>
    <row r="15" spans="1:46" s="83" customFormat="1" ht="151.5" customHeight="1" x14ac:dyDescent="0.25">
      <c r="A15" s="67">
        <v>3</v>
      </c>
      <c r="B15" s="161"/>
      <c r="C15" s="68"/>
      <c r="D15" s="77" t="s">
        <v>57</v>
      </c>
      <c r="E15" s="77"/>
      <c r="F15" s="77"/>
      <c r="G15" s="75" t="s">
        <v>250</v>
      </c>
      <c r="H15" s="76" t="s">
        <v>251</v>
      </c>
      <c r="I15" s="79" t="s">
        <v>252</v>
      </c>
      <c r="J15" s="68" t="s">
        <v>18</v>
      </c>
      <c r="K15" s="67">
        <v>1</v>
      </c>
      <c r="L15" s="67">
        <v>3</v>
      </c>
      <c r="M15" s="81">
        <f t="shared" ref="M15:M16" si="6">K15*L15</f>
        <v>3</v>
      </c>
      <c r="N15" s="85" t="str">
        <f t="shared" ref="N15:N16" si="7">IF(AND(K15=1,L15=1),"BAJO",IF(AND(K15=1,L15=2),"BAJO",IF(AND(K15=2,L15=1),"BAJO",IF(AND(K15=2,L15=2),"BAJO",IF(AND(K15=3,L15=1),"BAJO",IF(AND(K15=1,L15=3),"MODERADO",IF(AND(K15=2,L15=3),"MODERADO",IF(AND(K15=3,L15=2),"MODERADO",IF(AND(K15=4,L15=1),"MODERADO",IF(AND(K15=5,L15=1),"ALTO",IF(AND(K15=4,L15=2),"ALTO",IF(AND(K15=3,L15=3),"ALTO",IF(AND(K15=2,L15=4),"ALTO",IF(AND(K15=1,L15=4),"ALTO",IF(AND(K15=5,L15=2),"ALTO",IF(AND(K15=4,L15=3),"ALTO","EXTREMO"))))))))))))))))</f>
        <v>MODERADO</v>
      </c>
      <c r="O15" s="86" t="s">
        <v>253</v>
      </c>
      <c r="P15" s="67" t="s">
        <v>0</v>
      </c>
      <c r="Q15" s="77" t="s">
        <v>187</v>
      </c>
      <c r="R15" s="77" t="s">
        <v>189</v>
      </c>
      <c r="S15" s="68" t="s">
        <v>145</v>
      </c>
      <c r="T15" s="77">
        <f>IF(S15="Asignado",[1]Listas!$C$30,[1]Listas!$C$31)</f>
        <v>15</v>
      </c>
      <c r="U15" s="68" t="s">
        <v>70</v>
      </c>
      <c r="V15" s="77">
        <f>IF(U15="Adecuado",[1]Listas!$C$32,[1]Listas!$C$33)</f>
        <v>15</v>
      </c>
      <c r="W15" s="68" t="s">
        <v>72</v>
      </c>
      <c r="X15" s="77">
        <f>IF(W15="Oportuna",[1]Listas!$C$34,[1]Listas!$C$35)</f>
        <v>15</v>
      </c>
      <c r="Y15" s="68" t="s">
        <v>80</v>
      </c>
      <c r="Z15" s="77">
        <f>IF(Y15="Prevenir",[1]Listas!$C$36,IF(Y15="Detectar",[1]Listas!$C$37,[1]Listas!$C$38))</f>
        <v>15</v>
      </c>
      <c r="AA15" s="68" t="s">
        <v>75</v>
      </c>
      <c r="AB15" s="77">
        <f>IF(AA15="Confiable",[1]Listas!$C$39,[1]Listas!$C$40)</f>
        <v>15</v>
      </c>
      <c r="AC15" s="68" t="s">
        <v>77</v>
      </c>
      <c r="AD15" s="77">
        <f>IF(AC15="Se investigan y resuelven oportunamente",[1]Listas!$C$41,[1]Listas!$C$42)</f>
        <v>15</v>
      </c>
      <c r="AE15" s="68" t="s">
        <v>79</v>
      </c>
      <c r="AF15" s="77">
        <f>IF(AE15="Completa",[1]Listas!$C$43,IF(AE15="Incompleta",[1]Listas!$C$44,[1]Listas!$C$45))</f>
        <v>10</v>
      </c>
      <c r="AG15" s="67">
        <f t="shared" si="2"/>
        <v>100</v>
      </c>
      <c r="AH15" s="77">
        <f>AVERAGE(AG15:AG15)</f>
        <v>100</v>
      </c>
      <c r="AI15" s="122" t="s">
        <v>385</v>
      </c>
      <c r="AJ15" s="67">
        <v>1</v>
      </c>
      <c r="AK15" s="67">
        <v>3</v>
      </c>
      <c r="AL15" s="81">
        <f t="shared" ref="AL15:AL16" si="8">+AJ15*AK15</f>
        <v>3</v>
      </c>
      <c r="AM15" s="85" t="str">
        <f t="shared" ref="AM15:AM16" si="9">IF(AND(AJ15=1,AK15=1),"BAJO",IF(AND(AJ15=1,AK15=2),"BAJO",IF(AND(AJ15=2,AK15=1),"BAJO",IF(AND(AJ15=2,AK15=2),"BAJO",IF(AND(AJ15=3,AK15=1),"BAJO",IF(AND(AJ15=1,AK15=3),"MODERADO",IF(AND(AJ15=2,AK15=3),"MODERADO",IF(AND(AJ15=3,AK15=2),"MODERADO",IF(AND(AJ15=4,AK15=1),"MODERADO",IF(AND(AJ15=5,AK15=1),"ALTO",IF(AND(AJ15=4,AK15=2),"ALTO",IF(AND(AJ15=3,AK15=3),"ALTO",IF(AND(AJ15=2,AK15=4),"ALTO",IF(AND(AJ15=1,AK15=4),"ALTO",IF(AND(AJ15=5,AK15=2),"ALTO",IF(AND(AJ15=4,AK15=3),"ALTO","EXTREMO"))))))))))))))))</f>
        <v>MODERADO</v>
      </c>
      <c r="AN15" s="119" t="s">
        <v>386</v>
      </c>
      <c r="AO15" s="77" t="s">
        <v>111</v>
      </c>
      <c r="AP15" s="68" t="s">
        <v>254</v>
      </c>
      <c r="AQ15" s="68" t="s">
        <v>255</v>
      </c>
      <c r="AR15" s="68" t="s">
        <v>256</v>
      </c>
      <c r="AS15" s="68" t="s">
        <v>257</v>
      </c>
      <c r="AT15" s="68" t="s">
        <v>258</v>
      </c>
    </row>
    <row r="16" spans="1:46" s="83" customFormat="1" ht="39.950000000000003" customHeight="1" x14ac:dyDescent="0.25">
      <c r="A16" s="143">
        <v>4</v>
      </c>
      <c r="B16" s="161"/>
      <c r="C16" s="140"/>
      <c r="D16" s="77" t="s">
        <v>57</v>
      </c>
      <c r="E16" s="140"/>
      <c r="F16" s="140"/>
      <c r="G16" s="75" t="s">
        <v>259</v>
      </c>
      <c r="H16" s="149" t="s">
        <v>260</v>
      </c>
      <c r="I16" s="152" t="s">
        <v>241</v>
      </c>
      <c r="J16" s="140" t="s">
        <v>18</v>
      </c>
      <c r="K16" s="143">
        <v>1</v>
      </c>
      <c r="L16" s="143">
        <v>3</v>
      </c>
      <c r="M16" s="130">
        <f t="shared" si="6"/>
        <v>3</v>
      </c>
      <c r="N16" s="130" t="str">
        <f t="shared" si="7"/>
        <v>MODERADO</v>
      </c>
      <c r="O16" s="152" t="s">
        <v>261</v>
      </c>
      <c r="P16" s="143" t="s">
        <v>0</v>
      </c>
      <c r="Q16" s="140" t="s">
        <v>187</v>
      </c>
      <c r="R16" s="140" t="s">
        <v>189</v>
      </c>
      <c r="S16" s="140" t="s">
        <v>145</v>
      </c>
      <c r="T16" s="140">
        <f>IF(S16="Asignado",[1]Listas!$C$30,[1]Listas!$C$31)</f>
        <v>15</v>
      </c>
      <c r="U16" s="140" t="s">
        <v>70</v>
      </c>
      <c r="V16" s="140">
        <f>IF(U16="Adecuado",[1]Listas!$C$32,[1]Listas!$C$33)</f>
        <v>15</v>
      </c>
      <c r="W16" s="140" t="s">
        <v>72</v>
      </c>
      <c r="X16" s="140">
        <f>IF(W16="Oportuna",[1]Listas!$C$34,[1]Listas!$C$35)</f>
        <v>15</v>
      </c>
      <c r="Y16" s="140" t="s">
        <v>80</v>
      </c>
      <c r="Z16" s="140">
        <f>IF(Y16="Prevenir",[1]Listas!$C$36,IF(Y16="Detectar",[1]Listas!$C$37,[1]Listas!$C$38))</f>
        <v>15</v>
      </c>
      <c r="AA16" s="140" t="s">
        <v>75</v>
      </c>
      <c r="AB16" s="140">
        <f>IF(AA16="Confiable",[1]Listas!$C$39,[1]Listas!$C$40)</f>
        <v>15</v>
      </c>
      <c r="AC16" s="140" t="s">
        <v>77</v>
      </c>
      <c r="AD16" s="140">
        <f>IF(AC16="Se investigan y resuelven oportunamente",[1]Listas!$C$41,[1]Listas!$C$42)</f>
        <v>15</v>
      </c>
      <c r="AE16" s="140" t="s">
        <v>79</v>
      </c>
      <c r="AF16" s="140">
        <f>IF(AE16="Completa",[1]Listas!$C$43,IF(AE16="Incompleta",[1]Listas!$C$44,[1]Listas!$C$45))</f>
        <v>10</v>
      </c>
      <c r="AG16" s="143">
        <f t="shared" si="2"/>
        <v>100</v>
      </c>
      <c r="AH16" s="140">
        <f>AVERAGE(AG16:AG19)</f>
        <v>100</v>
      </c>
      <c r="AI16" s="135" t="s">
        <v>387</v>
      </c>
      <c r="AJ16" s="143">
        <v>1</v>
      </c>
      <c r="AK16" s="143">
        <v>3</v>
      </c>
      <c r="AL16" s="130">
        <f t="shared" si="8"/>
        <v>3</v>
      </c>
      <c r="AM16" s="130" t="str">
        <f t="shared" si="9"/>
        <v>MODERADO</v>
      </c>
      <c r="AN16" s="135" t="s">
        <v>388</v>
      </c>
      <c r="AO16" s="140" t="s">
        <v>111</v>
      </c>
      <c r="AP16" s="140" t="s">
        <v>262</v>
      </c>
      <c r="AQ16" s="140" t="s">
        <v>263</v>
      </c>
      <c r="AR16" s="140" t="s">
        <v>256</v>
      </c>
      <c r="AS16" s="140" t="s">
        <v>264</v>
      </c>
      <c r="AT16" s="140" t="s">
        <v>265</v>
      </c>
    </row>
    <row r="17" spans="1:46" s="83" customFormat="1" ht="39.950000000000003" customHeight="1" x14ac:dyDescent="0.25">
      <c r="A17" s="144"/>
      <c r="B17" s="161"/>
      <c r="C17" s="141"/>
      <c r="D17" s="77" t="s">
        <v>57</v>
      </c>
      <c r="E17" s="141"/>
      <c r="F17" s="141"/>
      <c r="G17" s="75" t="s">
        <v>266</v>
      </c>
      <c r="H17" s="150"/>
      <c r="I17" s="153"/>
      <c r="J17" s="141"/>
      <c r="K17" s="144"/>
      <c r="L17" s="144"/>
      <c r="M17" s="148"/>
      <c r="N17" s="148"/>
      <c r="O17" s="153"/>
      <c r="P17" s="144"/>
      <c r="Q17" s="141"/>
      <c r="R17" s="141"/>
      <c r="S17" s="141"/>
      <c r="T17" s="141"/>
      <c r="U17" s="141"/>
      <c r="V17" s="141"/>
      <c r="W17" s="141"/>
      <c r="X17" s="141"/>
      <c r="Y17" s="141"/>
      <c r="Z17" s="141"/>
      <c r="AA17" s="141"/>
      <c r="AB17" s="141"/>
      <c r="AC17" s="141"/>
      <c r="AD17" s="141"/>
      <c r="AE17" s="141"/>
      <c r="AF17" s="141"/>
      <c r="AG17" s="144"/>
      <c r="AH17" s="141"/>
      <c r="AI17" s="136"/>
      <c r="AJ17" s="144"/>
      <c r="AK17" s="144"/>
      <c r="AL17" s="148"/>
      <c r="AM17" s="148"/>
      <c r="AN17" s="136"/>
      <c r="AO17" s="141"/>
      <c r="AP17" s="141"/>
      <c r="AQ17" s="141"/>
      <c r="AR17" s="141"/>
      <c r="AS17" s="141"/>
      <c r="AT17" s="141"/>
    </row>
    <row r="18" spans="1:46" s="83" customFormat="1" ht="39.950000000000003" customHeight="1" x14ac:dyDescent="0.25">
      <c r="A18" s="144"/>
      <c r="B18" s="161"/>
      <c r="C18" s="141"/>
      <c r="D18" s="77" t="s">
        <v>57</v>
      </c>
      <c r="E18" s="141"/>
      <c r="F18" s="141"/>
      <c r="G18" s="75" t="s">
        <v>267</v>
      </c>
      <c r="H18" s="150"/>
      <c r="I18" s="153"/>
      <c r="J18" s="141"/>
      <c r="K18" s="144"/>
      <c r="L18" s="144"/>
      <c r="M18" s="148"/>
      <c r="N18" s="148"/>
      <c r="O18" s="153"/>
      <c r="P18" s="144"/>
      <c r="Q18" s="141"/>
      <c r="R18" s="141"/>
      <c r="S18" s="141"/>
      <c r="T18" s="141"/>
      <c r="U18" s="141"/>
      <c r="V18" s="141"/>
      <c r="W18" s="141"/>
      <c r="X18" s="141"/>
      <c r="Y18" s="141"/>
      <c r="Z18" s="141"/>
      <c r="AA18" s="141"/>
      <c r="AB18" s="141"/>
      <c r="AC18" s="141"/>
      <c r="AD18" s="141"/>
      <c r="AE18" s="141"/>
      <c r="AF18" s="141"/>
      <c r="AG18" s="144"/>
      <c r="AH18" s="141"/>
      <c r="AI18" s="136"/>
      <c r="AJ18" s="144"/>
      <c r="AK18" s="144"/>
      <c r="AL18" s="148"/>
      <c r="AM18" s="148"/>
      <c r="AN18" s="136"/>
      <c r="AO18" s="141"/>
      <c r="AP18" s="141"/>
      <c r="AQ18" s="141"/>
      <c r="AR18" s="141"/>
      <c r="AS18" s="141"/>
      <c r="AT18" s="141"/>
    </row>
    <row r="19" spans="1:46" s="83" customFormat="1" ht="48" customHeight="1" x14ac:dyDescent="0.25">
      <c r="A19" s="145"/>
      <c r="B19" s="129"/>
      <c r="C19" s="142"/>
      <c r="D19" s="77" t="s">
        <v>57</v>
      </c>
      <c r="E19" s="142"/>
      <c r="F19" s="142"/>
      <c r="G19" s="74" t="s">
        <v>268</v>
      </c>
      <c r="H19" s="151"/>
      <c r="I19" s="154"/>
      <c r="J19" s="142"/>
      <c r="K19" s="145"/>
      <c r="L19" s="145"/>
      <c r="M19" s="131"/>
      <c r="N19" s="131"/>
      <c r="O19" s="154"/>
      <c r="P19" s="145"/>
      <c r="Q19" s="142"/>
      <c r="R19" s="142"/>
      <c r="S19" s="142"/>
      <c r="T19" s="142"/>
      <c r="U19" s="142"/>
      <c r="V19" s="142"/>
      <c r="W19" s="142"/>
      <c r="X19" s="142"/>
      <c r="Y19" s="142"/>
      <c r="Z19" s="142"/>
      <c r="AA19" s="142"/>
      <c r="AB19" s="142"/>
      <c r="AC19" s="142"/>
      <c r="AD19" s="142"/>
      <c r="AE19" s="142"/>
      <c r="AF19" s="142"/>
      <c r="AG19" s="145"/>
      <c r="AH19" s="142"/>
      <c r="AI19" s="137"/>
      <c r="AJ19" s="145"/>
      <c r="AK19" s="145"/>
      <c r="AL19" s="131"/>
      <c r="AM19" s="131"/>
      <c r="AN19" s="137"/>
      <c r="AO19" s="142"/>
      <c r="AP19" s="142"/>
      <c r="AQ19" s="142"/>
      <c r="AR19" s="142"/>
      <c r="AS19" s="142"/>
      <c r="AT19" s="142"/>
    </row>
    <row r="20" spans="1:46" s="83" customFormat="1" ht="152.25" customHeight="1" x14ac:dyDescent="0.25">
      <c r="A20" s="143">
        <v>5</v>
      </c>
      <c r="B20" s="128" t="s">
        <v>379</v>
      </c>
      <c r="C20" s="76" t="s">
        <v>280</v>
      </c>
      <c r="D20" s="140" t="s">
        <v>58</v>
      </c>
      <c r="E20" s="140" t="s">
        <v>105</v>
      </c>
      <c r="F20" s="140"/>
      <c r="G20" s="124" t="s">
        <v>270</v>
      </c>
      <c r="H20" s="149" t="s">
        <v>271</v>
      </c>
      <c r="I20" s="88" t="s">
        <v>272</v>
      </c>
      <c r="J20" s="140" t="s">
        <v>18</v>
      </c>
      <c r="K20" s="143">
        <v>1</v>
      </c>
      <c r="L20" s="143">
        <v>4</v>
      </c>
      <c r="M20" s="130">
        <f>K20*L20</f>
        <v>4</v>
      </c>
      <c r="N20" s="130" t="str">
        <f t="shared" ref="N20" si="10">IF(AND(K20=1,L20=1),"BAJO",IF(AND(K20=1,L20=2),"BAJO",IF(AND(K20=2,L20=1),"BAJO",IF(AND(K20=2,L20=2),"BAJO",IF(AND(K20=3,L20=1),"BAJO",IF(AND(K20=1,L20=3),"MODERADO",IF(AND(K20=2,L20=3),"MODERADO",IF(AND(K20=3,L20=2),"MODERADO",IF(AND(K20=4,L20=1),"MODERADO",IF(AND(K20=5,L20=1),"ALTO",IF(AND(K20=4,L20=2),"ALTO",IF(AND(K20=3,L20=3),"ALTO",IF(AND(K20=2,L20=4),"ALTO",IF(AND(K20=1,L20=4),"ALTO",IF(AND(K20=5,L20=2),"ALTO",IF(AND(K20=4,L20=3),"ALTO","EXTREMO"))))))))))))))))</f>
        <v>ALTO</v>
      </c>
      <c r="O20" s="158" t="s">
        <v>273</v>
      </c>
      <c r="P20" s="143" t="s">
        <v>0</v>
      </c>
      <c r="Q20" s="140" t="s">
        <v>187</v>
      </c>
      <c r="R20" s="140" t="s">
        <v>188</v>
      </c>
      <c r="S20" s="140" t="s">
        <v>145</v>
      </c>
      <c r="T20" s="140">
        <f>IF(S20="Asignado",[2]Listas!$C$30,[2]Listas!$C$31)</f>
        <v>15</v>
      </c>
      <c r="U20" s="140" t="s">
        <v>70</v>
      </c>
      <c r="V20" s="140">
        <f>IF(U20="Adecuado",[2]Listas!$C$32,[2]Listas!$C$33)</f>
        <v>15</v>
      </c>
      <c r="W20" s="140" t="s">
        <v>72</v>
      </c>
      <c r="X20" s="140">
        <f>IF(W20="Oportuna",[2]Listas!$C$34,[2]Listas!$C$35)</f>
        <v>15</v>
      </c>
      <c r="Y20" s="140" t="s">
        <v>80</v>
      </c>
      <c r="Z20" s="140">
        <f>IF(Y20="Prevenir",[2]Listas!$C$36,IF(Y20="Detectar",[2]Listas!$C$37,[2]Listas!$C$38))</f>
        <v>15</v>
      </c>
      <c r="AA20" s="140" t="s">
        <v>75</v>
      </c>
      <c r="AB20" s="140">
        <f>IF(AA20="Confiable",[2]Listas!$C$39,[2]Listas!$C$40)</f>
        <v>15</v>
      </c>
      <c r="AC20" s="140" t="s">
        <v>77</v>
      </c>
      <c r="AD20" s="140">
        <f>IF(AC20="Se investigan y resuelven oportunamente",[2]Listas!$C$41,[2]Listas!$C$42)</f>
        <v>15</v>
      </c>
      <c r="AE20" s="140" t="s">
        <v>79</v>
      </c>
      <c r="AF20" s="140">
        <f>IF(AE20="Completa",[2]Listas!$C$43,IF(AE20="Incompleta",[2]Listas!$C$44,[2]Listas!$C$45))</f>
        <v>10</v>
      </c>
      <c r="AG20" s="143">
        <f t="shared" ref="AG20" si="11">T20+V20+X20+Z20+AB20+AD20+AF20</f>
        <v>100</v>
      </c>
      <c r="AH20" s="143">
        <f>AVERAGE(AG20:AG20)</f>
        <v>100</v>
      </c>
      <c r="AI20" s="135" t="s">
        <v>387</v>
      </c>
      <c r="AJ20" s="143">
        <v>1</v>
      </c>
      <c r="AK20" s="143">
        <v>4</v>
      </c>
      <c r="AL20" s="130">
        <f t="shared" ref="AL20" si="12">+AJ20*AK20</f>
        <v>4</v>
      </c>
      <c r="AM20" s="130" t="str">
        <f t="shared" ref="AM20" si="13">IF(AND(AJ20=1,AK20=1),"BAJO",IF(AND(AJ20=1,AK20=2),"BAJO",IF(AND(AJ20=2,AK20=1),"BAJO",IF(AND(AJ20=2,AK20=2),"BAJO",IF(AND(AJ20=3,AK20=1),"BAJO",IF(AND(AJ20=1,AK20=3),"MODERADO",IF(AND(AJ20=2,AK20=3),"MODERADO",IF(AND(AJ20=3,AK20=2),"MODERADO",IF(AND(AJ20=4,AK20=1),"MODERADO",IF(AND(AJ20=5,AK20=1),"ALTO",IF(AND(AJ20=4,AK20=2),"ALTO",IF(AND(AJ20=3,AK20=3),"ALTO",IF(AND(AJ20=2,AK20=4),"ALTO",IF(AND(AJ20=1,AK20=4),"ALTO",IF(AND(AJ20=5,AK20=2),"ALTO",IF(AND(AJ20=4,AK20=3),"ALTO","EXTREMO"))))))))))))))))</f>
        <v>ALTO</v>
      </c>
      <c r="AN20" s="135" t="s">
        <v>389</v>
      </c>
      <c r="AO20" s="140" t="s">
        <v>111</v>
      </c>
      <c r="AP20" s="135" t="s">
        <v>274</v>
      </c>
      <c r="AQ20" s="135" t="s">
        <v>275</v>
      </c>
      <c r="AR20" s="135" t="s">
        <v>276</v>
      </c>
      <c r="AS20" s="143" t="s">
        <v>37</v>
      </c>
      <c r="AT20" s="135" t="s">
        <v>277</v>
      </c>
    </row>
    <row r="21" spans="1:46" s="83" customFormat="1" ht="98.25" customHeight="1" x14ac:dyDescent="0.25">
      <c r="A21" s="145"/>
      <c r="B21" s="129"/>
      <c r="C21" s="76"/>
      <c r="D21" s="142"/>
      <c r="E21" s="142"/>
      <c r="F21" s="142"/>
      <c r="G21" s="124" t="s">
        <v>278</v>
      </c>
      <c r="H21" s="151"/>
      <c r="I21" s="88" t="s">
        <v>279</v>
      </c>
      <c r="J21" s="142"/>
      <c r="K21" s="145"/>
      <c r="L21" s="145"/>
      <c r="M21" s="131"/>
      <c r="N21" s="131"/>
      <c r="O21" s="159"/>
      <c r="P21" s="145"/>
      <c r="Q21" s="142"/>
      <c r="R21" s="142"/>
      <c r="S21" s="142"/>
      <c r="T21" s="142"/>
      <c r="U21" s="142"/>
      <c r="V21" s="142"/>
      <c r="W21" s="142"/>
      <c r="X21" s="142"/>
      <c r="Y21" s="142"/>
      <c r="Z21" s="142"/>
      <c r="AA21" s="142"/>
      <c r="AB21" s="142"/>
      <c r="AC21" s="142"/>
      <c r="AD21" s="142"/>
      <c r="AE21" s="142"/>
      <c r="AF21" s="142"/>
      <c r="AG21" s="145"/>
      <c r="AH21" s="145"/>
      <c r="AI21" s="137"/>
      <c r="AJ21" s="145"/>
      <c r="AK21" s="145"/>
      <c r="AL21" s="131"/>
      <c r="AM21" s="131"/>
      <c r="AN21" s="137"/>
      <c r="AO21" s="142"/>
      <c r="AP21" s="137"/>
      <c r="AQ21" s="137"/>
      <c r="AR21" s="137"/>
      <c r="AS21" s="145"/>
      <c r="AT21" s="137"/>
    </row>
    <row r="22" spans="1:46" s="83" customFormat="1" ht="50.1" customHeight="1" x14ac:dyDescent="0.25">
      <c r="A22" s="143">
        <v>6</v>
      </c>
      <c r="B22" s="130" t="s">
        <v>220</v>
      </c>
      <c r="C22" s="140" t="s">
        <v>284</v>
      </c>
      <c r="D22" s="77" t="s">
        <v>57</v>
      </c>
      <c r="E22" s="140"/>
      <c r="F22" s="140"/>
      <c r="G22" s="75" t="s">
        <v>259</v>
      </c>
      <c r="H22" s="149" t="s">
        <v>281</v>
      </c>
      <c r="I22" s="152" t="s">
        <v>241</v>
      </c>
      <c r="J22" s="140" t="s">
        <v>18</v>
      </c>
      <c r="K22" s="143">
        <v>2</v>
      </c>
      <c r="L22" s="143">
        <v>4</v>
      </c>
      <c r="M22" s="130">
        <f t="shared" ref="M22" si="14">K22*L22</f>
        <v>8</v>
      </c>
      <c r="N22" s="130" t="str">
        <f t="shared" ref="N22" si="15">IF(AND(K22=1,L22=1),"BAJO",IF(AND(K22=1,L22=2),"BAJO",IF(AND(K22=2,L22=1),"BAJO",IF(AND(K22=2,L22=2),"BAJO",IF(AND(K22=3,L22=1),"BAJO",IF(AND(K22=1,L22=3),"MODERADO",IF(AND(K22=2,L22=3),"MODERADO",IF(AND(K22=3,L22=2),"MODERADO",IF(AND(K22=4,L22=1),"MODERADO",IF(AND(K22=5,L22=1),"ALTO",IF(AND(K22=4,L22=2),"ALTO",IF(AND(K22=3,L22=3),"ALTO",IF(AND(K22=2,L22=4),"ALTO",IF(AND(K22=1,L22=4),"ALTO",IF(AND(K22=5,L22=2),"ALTO",IF(AND(K22=4,L22=3),"ALTO","EXTREMO"))))))))))))))))</f>
        <v>ALTO</v>
      </c>
      <c r="O22" s="155" t="s">
        <v>282</v>
      </c>
      <c r="P22" s="143" t="s">
        <v>0</v>
      </c>
      <c r="Q22" s="140" t="s">
        <v>187</v>
      </c>
      <c r="R22" s="140" t="s">
        <v>189</v>
      </c>
      <c r="S22" s="140" t="s">
        <v>145</v>
      </c>
      <c r="T22" s="140">
        <f>IF(S22="Asignado",[3]Listas!$C$30,[3]Listas!$C$31)</f>
        <v>15</v>
      </c>
      <c r="U22" s="140" t="s">
        <v>70</v>
      </c>
      <c r="V22" s="140">
        <f>IF(U22="Adecuado",[3]Listas!$C$32,[3]Listas!$C$33)</f>
        <v>15</v>
      </c>
      <c r="W22" s="140" t="s">
        <v>72</v>
      </c>
      <c r="X22" s="140">
        <f>IF(W22="Oportuna",[3]Listas!$C$34,[3]Listas!$C$35)</f>
        <v>15</v>
      </c>
      <c r="Y22" s="140" t="s">
        <v>80</v>
      </c>
      <c r="Z22" s="140">
        <f>IF(Y22="Prevenir",[3]Listas!$C$36,IF(Y22="Detectar",[3]Listas!$C$37,[3]Listas!$C$38))</f>
        <v>15</v>
      </c>
      <c r="AA22" s="140" t="s">
        <v>75</v>
      </c>
      <c r="AB22" s="140">
        <f>IF(AA22="Confiable",[3]Listas!$C$39,[3]Listas!$C$40)</f>
        <v>15</v>
      </c>
      <c r="AC22" s="140" t="s">
        <v>77</v>
      </c>
      <c r="AD22" s="140">
        <f>IF(AC22="Se investigan y resuelven oportunamente",[3]Listas!$C$41,[3]Listas!$C$42)</f>
        <v>15</v>
      </c>
      <c r="AE22" s="140" t="s">
        <v>79</v>
      </c>
      <c r="AF22" s="140">
        <f>IF(AE22="Completa",[3]Listas!$C$43,IF(AE22="Incompleta",[3]Listas!$C$44,[3]Listas!$C$45))</f>
        <v>10</v>
      </c>
      <c r="AG22" s="143">
        <f t="shared" ref="AG22" si="16">T22+V22+X22+Z22+AB22+AD22+AF22</f>
        <v>100</v>
      </c>
      <c r="AH22" s="143">
        <f>AVERAGE(AG22:AG22)</f>
        <v>100</v>
      </c>
      <c r="AI22" s="135" t="s">
        <v>390</v>
      </c>
      <c r="AJ22" s="143">
        <v>1</v>
      </c>
      <c r="AK22" s="143">
        <v>4</v>
      </c>
      <c r="AL22" s="130">
        <f>+AJ22*AK22</f>
        <v>4</v>
      </c>
      <c r="AM22" s="130" t="str">
        <f t="shared" ref="AM22" si="17">IF(AND(AJ22=1,AK22=1),"BAJO",IF(AND(AJ22=1,AK22=2),"BAJO",IF(AND(AJ22=2,AK22=1),"BAJO",IF(AND(AJ22=2,AK22=2),"BAJO",IF(AND(AJ22=3,AK22=1),"BAJO",IF(AND(AJ22=1,AK22=3),"MODERADO",IF(AND(AJ22=2,AK22=3),"MODERADO",IF(AND(AJ22=3,AK22=2),"MODERADO",IF(AND(AJ22=4,AK22=1),"MODERADO",IF(AND(AJ22=5,AK22=1),"ALTO",IF(AND(AJ22=4,AK22=2),"ALTO",IF(AND(AJ22=3,AK22=3),"ALTO",IF(AND(AJ22=2,AK22=4),"ALTO",IF(AND(AJ22=1,AK22=4),"ALTO",IF(AND(AJ22=5,AK22=2),"ALTO",IF(AND(AJ22=4,AK22=3),"ALTO","EXTREMO"))))))))))))))))</f>
        <v>ALTO</v>
      </c>
      <c r="AN22" s="135" t="s">
        <v>391</v>
      </c>
      <c r="AO22" s="140" t="s">
        <v>111</v>
      </c>
      <c r="AP22" s="135" t="s">
        <v>262</v>
      </c>
      <c r="AQ22" s="140" t="s">
        <v>263</v>
      </c>
      <c r="AR22" s="140" t="s">
        <v>283</v>
      </c>
      <c r="AS22" s="140" t="s">
        <v>264</v>
      </c>
      <c r="AT22" s="140" t="s">
        <v>265</v>
      </c>
    </row>
    <row r="23" spans="1:46" s="83" customFormat="1" ht="50.1" customHeight="1" x14ac:dyDescent="0.25">
      <c r="A23" s="144"/>
      <c r="B23" s="148"/>
      <c r="C23" s="141"/>
      <c r="D23" s="77" t="s">
        <v>57</v>
      </c>
      <c r="E23" s="141"/>
      <c r="F23" s="141"/>
      <c r="G23" s="75" t="s">
        <v>266</v>
      </c>
      <c r="H23" s="150"/>
      <c r="I23" s="153"/>
      <c r="J23" s="141"/>
      <c r="K23" s="144"/>
      <c r="L23" s="144"/>
      <c r="M23" s="148"/>
      <c r="N23" s="148"/>
      <c r="O23" s="156"/>
      <c r="P23" s="144"/>
      <c r="Q23" s="141"/>
      <c r="R23" s="141"/>
      <c r="S23" s="141"/>
      <c r="T23" s="141"/>
      <c r="U23" s="141"/>
      <c r="V23" s="141"/>
      <c r="W23" s="141"/>
      <c r="X23" s="141"/>
      <c r="Y23" s="141"/>
      <c r="Z23" s="141"/>
      <c r="AA23" s="141"/>
      <c r="AB23" s="141"/>
      <c r="AC23" s="141"/>
      <c r="AD23" s="141"/>
      <c r="AE23" s="141"/>
      <c r="AF23" s="141"/>
      <c r="AG23" s="144"/>
      <c r="AH23" s="144"/>
      <c r="AI23" s="136"/>
      <c r="AJ23" s="144"/>
      <c r="AK23" s="144"/>
      <c r="AL23" s="148"/>
      <c r="AM23" s="148"/>
      <c r="AN23" s="136"/>
      <c r="AO23" s="141"/>
      <c r="AP23" s="136"/>
      <c r="AQ23" s="141"/>
      <c r="AR23" s="141"/>
      <c r="AS23" s="141"/>
      <c r="AT23" s="141"/>
    </row>
    <row r="24" spans="1:46" s="83" customFormat="1" ht="50.1" customHeight="1" x14ac:dyDescent="0.25">
      <c r="A24" s="144"/>
      <c r="B24" s="148"/>
      <c r="C24" s="141"/>
      <c r="D24" s="77" t="s">
        <v>57</v>
      </c>
      <c r="E24" s="141"/>
      <c r="F24" s="141"/>
      <c r="G24" s="75" t="s">
        <v>267</v>
      </c>
      <c r="H24" s="150"/>
      <c r="I24" s="153"/>
      <c r="J24" s="141"/>
      <c r="K24" s="144"/>
      <c r="L24" s="144"/>
      <c r="M24" s="148"/>
      <c r="N24" s="148"/>
      <c r="O24" s="156"/>
      <c r="P24" s="144"/>
      <c r="Q24" s="141"/>
      <c r="R24" s="141"/>
      <c r="S24" s="141"/>
      <c r="T24" s="141"/>
      <c r="U24" s="141"/>
      <c r="V24" s="141"/>
      <c r="W24" s="141"/>
      <c r="X24" s="141"/>
      <c r="Y24" s="141"/>
      <c r="Z24" s="141"/>
      <c r="AA24" s="141"/>
      <c r="AB24" s="141"/>
      <c r="AC24" s="141"/>
      <c r="AD24" s="141"/>
      <c r="AE24" s="141"/>
      <c r="AF24" s="141"/>
      <c r="AG24" s="144"/>
      <c r="AH24" s="144"/>
      <c r="AI24" s="136"/>
      <c r="AJ24" s="144"/>
      <c r="AK24" s="144"/>
      <c r="AL24" s="148"/>
      <c r="AM24" s="148"/>
      <c r="AN24" s="136"/>
      <c r="AO24" s="141"/>
      <c r="AP24" s="136"/>
      <c r="AQ24" s="141"/>
      <c r="AR24" s="141"/>
      <c r="AS24" s="141"/>
      <c r="AT24" s="141"/>
    </row>
    <row r="25" spans="1:46" s="83" customFormat="1" ht="92.25" customHeight="1" x14ac:dyDescent="0.25">
      <c r="A25" s="145"/>
      <c r="B25" s="131"/>
      <c r="C25" s="142"/>
      <c r="D25" s="77" t="s">
        <v>57</v>
      </c>
      <c r="E25" s="142"/>
      <c r="F25" s="142"/>
      <c r="G25" s="75" t="s">
        <v>268</v>
      </c>
      <c r="H25" s="151"/>
      <c r="I25" s="154"/>
      <c r="J25" s="142"/>
      <c r="K25" s="145"/>
      <c r="L25" s="145"/>
      <c r="M25" s="131"/>
      <c r="N25" s="131"/>
      <c r="O25" s="157"/>
      <c r="P25" s="145"/>
      <c r="Q25" s="142"/>
      <c r="R25" s="142"/>
      <c r="S25" s="142"/>
      <c r="T25" s="142"/>
      <c r="U25" s="142"/>
      <c r="V25" s="142"/>
      <c r="W25" s="142"/>
      <c r="X25" s="142"/>
      <c r="Y25" s="142"/>
      <c r="Z25" s="142"/>
      <c r="AA25" s="142"/>
      <c r="AB25" s="142"/>
      <c r="AC25" s="142"/>
      <c r="AD25" s="142"/>
      <c r="AE25" s="142"/>
      <c r="AF25" s="142"/>
      <c r="AG25" s="145"/>
      <c r="AH25" s="145"/>
      <c r="AI25" s="137"/>
      <c r="AJ25" s="145"/>
      <c r="AK25" s="145"/>
      <c r="AL25" s="131"/>
      <c r="AM25" s="131"/>
      <c r="AN25" s="137"/>
      <c r="AO25" s="142"/>
      <c r="AP25" s="137"/>
      <c r="AQ25" s="142"/>
      <c r="AR25" s="142"/>
      <c r="AS25" s="142"/>
      <c r="AT25" s="142"/>
    </row>
    <row r="26" spans="1:46" s="96" customFormat="1" ht="187.5" customHeight="1" thickBot="1" x14ac:dyDescent="0.3">
      <c r="A26" s="89">
        <v>7</v>
      </c>
      <c r="B26" s="128" t="s">
        <v>139</v>
      </c>
      <c r="C26" s="90" t="s">
        <v>302</v>
      </c>
      <c r="D26" s="91" t="s">
        <v>57</v>
      </c>
      <c r="E26" s="91" t="s">
        <v>105</v>
      </c>
      <c r="F26" s="91"/>
      <c r="G26" s="125" t="s">
        <v>285</v>
      </c>
      <c r="H26" s="90" t="s">
        <v>286</v>
      </c>
      <c r="I26" s="90" t="s">
        <v>287</v>
      </c>
      <c r="J26" s="92" t="s">
        <v>18</v>
      </c>
      <c r="K26" s="89">
        <v>3</v>
      </c>
      <c r="L26" s="89">
        <v>3</v>
      </c>
      <c r="M26" s="93">
        <f>K26*L26</f>
        <v>9</v>
      </c>
      <c r="N26" s="93" t="str">
        <f>IF(AND(K26=1,L26=1),"BAJO",IF(AND(K26=1,L26=2),"BAJO",IF(AND(K26=2,L26=1),"BAJO",IF(AND(K26=2,L26=2),"BAJO",IF(AND(K26=3,L26=1),"BAJO",IF(AND(K26=1,L26=3),"MODERADO",IF(AND(K26=2,L26=3),"MODERADO",IF(AND(K26=3,L26=2),"MODERADO",IF(AND(K26=4,L26=1),"MODERADO",IF(AND(K26=5,L26=1),"ALTO",IF(AND(K26=4,L26=2),"ALTO",IF(AND(K26=3,L26=3),"ALTO",IF(AND(K26=2,L26=4),"ALTO",IF(AND(K26=1,L26=4),"ALTO",IF(AND(K26=5,L26=2),"ALTO",IF(AND(K26=4,L26=3),"ALTO","EXTREMO"))))))))))))))))</f>
        <v>ALTO</v>
      </c>
      <c r="O26" s="90" t="s">
        <v>288</v>
      </c>
      <c r="P26" s="89" t="s">
        <v>0</v>
      </c>
      <c r="Q26" s="91" t="s">
        <v>187</v>
      </c>
      <c r="R26" s="91" t="s">
        <v>189</v>
      </c>
      <c r="S26" s="92" t="s">
        <v>145</v>
      </c>
      <c r="T26" s="91">
        <f>IF(S26="Asignado",[4]Listas!$C$30,[4]Listas!$C$31)</f>
        <v>15</v>
      </c>
      <c r="U26" s="92" t="s">
        <v>70</v>
      </c>
      <c r="V26" s="91">
        <f>IF(U26="Adecuado",[4]Listas!$C$32,[4]Listas!$C$33)</f>
        <v>15</v>
      </c>
      <c r="W26" s="92" t="s">
        <v>72</v>
      </c>
      <c r="X26" s="91">
        <f>IF(W26="Oportuna",[4]Listas!$C$34,[4]Listas!$C$35)</f>
        <v>15</v>
      </c>
      <c r="Y26" s="92" t="s">
        <v>80</v>
      </c>
      <c r="Z26" s="91">
        <f>IF(Y26="Prevenir",[4]Listas!$C$36,IF(Y26="Detectar",[4]Listas!$C$37,[4]Listas!$C$38))</f>
        <v>15</v>
      </c>
      <c r="AA26" s="92" t="s">
        <v>75</v>
      </c>
      <c r="AB26" s="91">
        <f>IF(AA26="Confiable",[4]Listas!$C$39,[4]Listas!$C$40)</f>
        <v>15</v>
      </c>
      <c r="AC26" s="92" t="s">
        <v>77</v>
      </c>
      <c r="AD26" s="91">
        <f>IF(AC26="Se investigan y resuelven oportunamente",[4]Listas!$C$41,[4]Listas!$C$42)</f>
        <v>15</v>
      </c>
      <c r="AE26" s="92" t="s">
        <v>79</v>
      </c>
      <c r="AF26" s="91">
        <f>IF(AE26="Completa",[4]Listas!$C$43,IF(AE26="Incompleta",[4]Listas!$C$44,[4]Listas!$C$45))</f>
        <v>10</v>
      </c>
      <c r="AG26" s="89">
        <f>T26+V26+X26+Z26+AB26+AD26+AF26</f>
        <v>100</v>
      </c>
      <c r="AH26" s="89">
        <f>AVERAGE(AG26:AG26)</f>
        <v>100</v>
      </c>
      <c r="AI26" s="125" t="s">
        <v>393</v>
      </c>
      <c r="AJ26" s="94">
        <v>1</v>
      </c>
      <c r="AK26" s="94">
        <v>3</v>
      </c>
      <c r="AL26" s="95">
        <f>AJ26*AK26</f>
        <v>3</v>
      </c>
      <c r="AM26" s="95" t="str">
        <f>IF(AND(AJ26=1,AK26=1),"BAJO",IF(AND(AJ26=1,AK26=2),"BAJO",IF(AND(AJ26=2,AK26=1),"BAJO",IF(AND(AJ26=2,AK26=2),"BAJO",IF(AND(AJ26=3,AK26=1),"BAJO",IF(AND(AJ26=1,AK26=3),"MODERADO",IF(AND(AJ26=2,AK26=3),"MODERADO",IF(AND(AJ26=3,AK26=2),"MODERADO",IF(AND(AJ26=4,AK26=1),"MODERADO",IF(AND(AJ26=5,AK26=1),"ALTO",IF(AND(AJ26=4,AK26=2),"ALTO",IF(AND(AJ26=3,AK26=3),"ALTO",IF(AND(AJ26=2,AK26=4),"ALTO",IF(AND(AJ26=1,AK26=4),"ALTO",IF(AND(AJ26=5,AK26=2),"ALTO",IF(AND(AJ26=4,AK26=3),"ALTO","EXTREMO"))))))))))))))))</f>
        <v>MODERADO</v>
      </c>
      <c r="AN26" s="92" t="s">
        <v>392</v>
      </c>
      <c r="AO26" s="91" t="s">
        <v>111</v>
      </c>
      <c r="AP26" s="92" t="s">
        <v>289</v>
      </c>
      <c r="AQ26" s="92" t="s">
        <v>290</v>
      </c>
      <c r="AR26" s="92" t="s">
        <v>291</v>
      </c>
      <c r="AS26" s="94" t="s">
        <v>292</v>
      </c>
      <c r="AT26" s="92" t="s">
        <v>293</v>
      </c>
    </row>
    <row r="27" spans="1:46" s="102" customFormat="1" ht="174" customHeight="1" thickBot="1" x14ac:dyDescent="0.3">
      <c r="A27" s="97">
        <v>8</v>
      </c>
      <c r="B27" s="129"/>
      <c r="C27" s="98"/>
      <c r="D27" s="99" t="s">
        <v>55</v>
      </c>
      <c r="E27" s="99" t="s">
        <v>105</v>
      </c>
      <c r="F27" s="99"/>
      <c r="G27" s="100" t="s">
        <v>285</v>
      </c>
      <c r="H27" s="100" t="s">
        <v>294</v>
      </c>
      <c r="I27" s="100" t="s">
        <v>295</v>
      </c>
      <c r="J27" s="99" t="s">
        <v>18</v>
      </c>
      <c r="K27" s="97">
        <v>1</v>
      </c>
      <c r="L27" s="97">
        <v>4</v>
      </c>
      <c r="M27" s="101">
        <f t="shared" ref="M27:M28" si="18">K27*L27</f>
        <v>4</v>
      </c>
      <c r="N27" s="101" t="str">
        <f t="shared" ref="N27:N28" si="19">IF(AND(K27=1,L27=1),"BAJO",IF(AND(K27=1,L27=2),"BAJO",IF(AND(K27=2,L27=1),"BAJO",IF(AND(K27=2,L27=2),"BAJO",IF(AND(K27=3,L27=1),"BAJO",IF(AND(K27=1,L27=3),"MODERADO",IF(AND(K27=2,L27=3),"MODERADO",IF(AND(K27=3,L27=2),"MODERADO",IF(AND(K27=4,L27=1),"MODERADO",IF(AND(K27=5,L27=1),"ALTO",IF(AND(K27=4,L27=2),"ALTO",IF(AND(K27=3,L27=3),"ALTO",IF(AND(K27=2,L27=4),"ALTO",IF(AND(K27=1,L27=4),"ALTO",IF(AND(K27=5,L27=2),"ALTO",IF(AND(K27=4,L27=3),"ALTO","EXTREMO"))))))))))))))))</f>
        <v>ALTO</v>
      </c>
      <c r="O27" s="100" t="s">
        <v>296</v>
      </c>
      <c r="P27" s="97" t="s">
        <v>0</v>
      </c>
      <c r="Q27" s="99" t="s">
        <v>187</v>
      </c>
      <c r="R27" s="99" t="s">
        <v>189</v>
      </c>
      <c r="S27" s="99" t="s">
        <v>145</v>
      </c>
      <c r="T27" s="99">
        <f>IF(S27="Asignado",[4]Listas!$C$30,[4]Listas!$C$31)</f>
        <v>15</v>
      </c>
      <c r="U27" s="99" t="s">
        <v>70</v>
      </c>
      <c r="V27" s="99">
        <f>IF(U27="Adecuado",[4]Listas!$C$32,[4]Listas!$C$33)</f>
        <v>15</v>
      </c>
      <c r="W27" s="99" t="s">
        <v>72</v>
      </c>
      <c r="X27" s="99">
        <f>IF(W27="Oportuna",[4]Listas!$C$34,[4]Listas!$C$35)</f>
        <v>15</v>
      </c>
      <c r="Y27" s="99" t="s">
        <v>80</v>
      </c>
      <c r="Z27" s="99">
        <f>IF(Y27="Prevenir",[4]Listas!$C$36,IF(Y27="Detectar",[4]Listas!$C$37,[4]Listas!$C$38))</f>
        <v>15</v>
      </c>
      <c r="AA27" s="99" t="s">
        <v>75</v>
      </c>
      <c r="AB27" s="99">
        <f>IF(AA27="Confiable",[4]Listas!$C$39,[4]Listas!$C$40)</f>
        <v>15</v>
      </c>
      <c r="AC27" s="99" t="s">
        <v>77</v>
      </c>
      <c r="AD27" s="99">
        <f>IF(AC27="Se investigan y resuelven oportunamente",[4]Listas!$C$41,[4]Listas!$C$42)</f>
        <v>15</v>
      </c>
      <c r="AE27" s="99" t="s">
        <v>79</v>
      </c>
      <c r="AF27" s="99">
        <f>IF(AE27="Completa",[4]Listas!$C$43,IF(AE27="Incompleta",[4]Listas!$C$44,[4]Listas!$C$45))</f>
        <v>10</v>
      </c>
      <c r="AG27" s="97">
        <f t="shared" ref="AG27:AG28" si="20">T27+V27+X27+Z27+AB27+AD27+AF27</f>
        <v>100</v>
      </c>
      <c r="AH27" s="97">
        <f>AVERAGE(AG27:AG27)</f>
        <v>100</v>
      </c>
      <c r="AI27" s="125" t="s">
        <v>394</v>
      </c>
      <c r="AJ27" s="97">
        <v>1</v>
      </c>
      <c r="AK27" s="97">
        <v>4</v>
      </c>
      <c r="AL27" s="101">
        <f t="shared" ref="AL27" si="21">AJ27*AK27</f>
        <v>4</v>
      </c>
      <c r="AM27" s="101" t="str">
        <f t="shared" ref="AM27:AM28" si="22">IF(AND(AJ27=1,AK27=1),"BAJO",IF(AND(AJ27=1,AK27=2),"BAJO",IF(AND(AJ27=2,AK27=1),"BAJO",IF(AND(AJ27=2,AK27=2),"BAJO",IF(AND(AJ27=3,AK27=1),"BAJO",IF(AND(AJ27=1,AK27=3),"MODERADO",IF(AND(AJ27=2,AK27=3),"MODERADO",IF(AND(AJ27=3,AK27=2),"MODERADO",IF(AND(AJ27=4,AK27=1),"MODERADO",IF(AND(AJ27=5,AK27=1),"ALTO",IF(AND(AJ27=4,AK27=2),"ALTO",IF(AND(AJ27=3,AK27=3),"ALTO",IF(AND(AJ27=2,AK27=4),"ALTO",IF(AND(AJ27=1,AK27=4),"ALTO",IF(AND(AJ27=5,AK27=2),"ALTO",IF(AND(AJ27=4,AK27=3),"ALTO","EXTREMO"))))))))))))))))</f>
        <v>ALTO</v>
      </c>
      <c r="AN27" s="121" t="s">
        <v>395</v>
      </c>
      <c r="AO27" s="99" t="s">
        <v>111</v>
      </c>
      <c r="AP27" s="100" t="s">
        <v>297</v>
      </c>
      <c r="AQ27" s="99" t="s">
        <v>298</v>
      </c>
      <c r="AR27" s="99" t="s">
        <v>299</v>
      </c>
      <c r="AS27" s="99" t="s">
        <v>300</v>
      </c>
      <c r="AT27" s="99" t="s">
        <v>301</v>
      </c>
    </row>
    <row r="28" spans="1:46" s="102" customFormat="1" ht="200.1" customHeight="1" x14ac:dyDescent="0.25">
      <c r="A28" s="67">
        <v>9</v>
      </c>
      <c r="B28" s="115" t="s">
        <v>140</v>
      </c>
      <c r="C28" s="103" t="s">
        <v>140</v>
      </c>
      <c r="D28" s="77"/>
      <c r="E28" s="77" t="s">
        <v>105</v>
      </c>
      <c r="F28" s="77"/>
      <c r="G28" s="75" t="s">
        <v>303</v>
      </c>
      <c r="H28" s="103" t="s">
        <v>304</v>
      </c>
      <c r="I28" s="77" t="s">
        <v>305</v>
      </c>
      <c r="J28" s="77" t="s">
        <v>18</v>
      </c>
      <c r="K28" s="67">
        <v>1</v>
      </c>
      <c r="L28" s="67">
        <v>4</v>
      </c>
      <c r="M28" s="85">
        <f t="shared" si="18"/>
        <v>4</v>
      </c>
      <c r="N28" s="85" t="str">
        <f t="shared" si="19"/>
        <v>ALTO</v>
      </c>
      <c r="O28" s="73" t="s">
        <v>306</v>
      </c>
      <c r="P28" s="67" t="s">
        <v>0</v>
      </c>
      <c r="Q28" s="77" t="s">
        <v>187</v>
      </c>
      <c r="R28" s="77" t="s">
        <v>189</v>
      </c>
      <c r="S28" s="77" t="s">
        <v>145</v>
      </c>
      <c r="T28" s="77">
        <f>IF(S28="Asignado",[5]Listas!$C$30,[5]Listas!$C$31)</f>
        <v>15</v>
      </c>
      <c r="U28" s="77" t="s">
        <v>70</v>
      </c>
      <c r="V28" s="77">
        <f>IF(U28="Adecuado",[5]Listas!$C$32,[5]Listas!$C$33)</f>
        <v>15</v>
      </c>
      <c r="W28" s="77" t="s">
        <v>72</v>
      </c>
      <c r="X28" s="77">
        <f>IF(W28="Oportuna",[5]Listas!$C$34,[5]Listas!$C$35)</f>
        <v>15</v>
      </c>
      <c r="Y28" s="77" t="s">
        <v>80</v>
      </c>
      <c r="Z28" s="77">
        <f>IF(Y28="Prevenir",[5]Listas!$C$36,IF(Y28="Detectar",[5]Listas!$C$37,[5]Listas!$C$38))</f>
        <v>15</v>
      </c>
      <c r="AA28" s="77" t="s">
        <v>75</v>
      </c>
      <c r="AB28" s="77">
        <f>IF(AA28="Confiable",[5]Listas!$C$39,[5]Listas!$C$40)</f>
        <v>15</v>
      </c>
      <c r="AC28" s="77" t="s">
        <v>77</v>
      </c>
      <c r="AD28" s="77">
        <f>IF(AC28="Se investigan y resuelven oportunamente",[5]Listas!$C$41,[5]Listas!$C$42)</f>
        <v>15</v>
      </c>
      <c r="AE28" s="77" t="s">
        <v>79</v>
      </c>
      <c r="AF28" s="77">
        <f>IF(AE28="Completa",[5]Listas!$C$43,IF(AE28="Incompleta",[5]Listas!$C$44,[5]Listas!$C$45))</f>
        <v>10</v>
      </c>
      <c r="AG28" s="67">
        <f t="shared" si="20"/>
        <v>100</v>
      </c>
      <c r="AH28" s="67">
        <f>AVERAGE(AG28:AG28)</f>
        <v>100</v>
      </c>
      <c r="AI28" s="122" t="s">
        <v>396</v>
      </c>
      <c r="AJ28" s="67">
        <v>1</v>
      </c>
      <c r="AK28" s="67">
        <v>4</v>
      </c>
      <c r="AL28" s="85">
        <f>AJ28*AK28</f>
        <v>4</v>
      </c>
      <c r="AM28" s="85" t="str">
        <f t="shared" si="22"/>
        <v>ALTO</v>
      </c>
      <c r="AN28" s="121" t="s">
        <v>397</v>
      </c>
      <c r="AO28" s="77" t="s">
        <v>111</v>
      </c>
      <c r="AP28" s="77" t="s">
        <v>307</v>
      </c>
      <c r="AQ28" s="77" t="s">
        <v>308</v>
      </c>
      <c r="AR28" s="77" t="s">
        <v>309</v>
      </c>
      <c r="AS28" s="104" t="s">
        <v>310</v>
      </c>
      <c r="AT28" s="77" t="s">
        <v>311</v>
      </c>
    </row>
    <row r="29" spans="1:46" s="83" customFormat="1" ht="150" customHeight="1" x14ac:dyDescent="0.25">
      <c r="A29" s="105">
        <v>10</v>
      </c>
      <c r="B29" s="130" t="s">
        <v>380</v>
      </c>
      <c r="C29" s="106" t="s">
        <v>328</v>
      </c>
      <c r="D29" s="107" t="s">
        <v>55</v>
      </c>
      <c r="E29" s="107"/>
      <c r="F29" s="107"/>
      <c r="G29" s="108" t="s">
        <v>312</v>
      </c>
      <c r="H29" s="109" t="s">
        <v>313</v>
      </c>
      <c r="I29" s="110" t="s">
        <v>314</v>
      </c>
      <c r="J29" s="107" t="s">
        <v>18</v>
      </c>
      <c r="K29" s="105">
        <v>2</v>
      </c>
      <c r="L29" s="105">
        <v>4</v>
      </c>
      <c r="M29" s="111">
        <f>K29*L29</f>
        <v>8</v>
      </c>
      <c r="N29" s="111" t="str">
        <f>IF(AND(K29=1,L29=1),"BAJO",IF(AND(K29=1,L29=2),"BAJO",IF(AND(K29=2,L29=1),"BAJO",IF(AND(K29=2,L29=2),"BAJO",IF(AND(K29=3,L29=1),"BAJO",IF(AND(K29=1,L29=3),"MODERADO",IF(AND(K29=2,L29=3),"MODERADO",IF(AND(K29=3,L29=2),"MODERADO",IF(AND(K29=4,L29=1),"MODERADO",IF(AND(K29=5,L29=1),"ALTO",IF(AND(K29=4,L29=2),"ALTO",IF(AND(K29=3,L29=3),"ALTO",IF(AND(K29=2,L29=4),"ALTO",IF(AND(K29=1,L29=4),"ALTO",IF(AND(K29=5,L29=2),"ALTO",IF(AND(K29=4,L29=3),"ALTO","EXTREMO"))))))))))))))))</f>
        <v>ALTO</v>
      </c>
      <c r="O29" s="112" t="s">
        <v>315</v>
      </c>
      <c r="P29" s="67" t="s">
        <v>0</v>
      </c>
      <c r="Q29" s="77" t="s">
        <v>187</v>
      </c>
      <c r="R29" s="77" t="s">
        <v>189</v>
      </c>
      <c r="S29" s="68" t="s">
        <v>145</v>
      </c>
      <c r="T29" s="77">
        <f>IF(S29="Asignado",[6]Listas!$C$30,[6]Listas!$C$31)</f>
        <v>15</v>
      </c>
      <c r="U29" s="68" t="s">
        <v>70</v>
      </c>
      <c r="V29" s="77">
        <f>IF(U29="Adecuado",[6]Listas!$C$32,[6]Listas!$C$33)</f>
        <v>15</v>
      </c>
      <c r="W29" s="68" t="s">
        <v>72</v>
      </c>
      <c r="X29" s="77">
        <f>IF(W29="Oportuna",[6]Listas!$C$34,[6]Listas!$C$35)</f>
        <v>15</v>
      </c>
      <c r="Y29" s="68" t="s">
        <v>80</v>
      </c>
      <c r="Z29" s="77">
        <f>IF(Y29="Prevenir",[6]Listas!$C$36,IF(Y29="Detectar",[6]Listas!$C$37,[6]Listas!$C$38))</f>
        <v>15</v>
      </c>
      <c r="AA29" s="68" t="s">
        <v>75</v>
      </c>
      <c r="AB29" s="77">
        <f>IF(AA29="Confiable",[6]Listas!$C$39,[6]Listas!$C$40)</f>
        <v>15</v>
      </c>
      <c r="AC29" s="68" t="s">
        <v>77</v>
      </c>
      <c r="AD29" s="77">
        <f>IF(AC29="Se investigan y resuelven oportunamente",[6]Listas!$C$41,[6]Listas!$C$42)</f>
        <v>15</v>
      </c>
      <c r="AE29" s="68" t="s">
        <v>79</v>
      </c>
      <c r="AF29" s="77">
        <f>IF(AE29="Completa",[6]Listas!$C$43,IF(AE29="Incompleta",[6]Listas!$C$44,[6]Listas!$C$45))</f>
        <v>10</v>
      </c>
      <c r="AG29" s="67">
        <f>T29+V29+X29+Z29+AB29+AD29+AF29</f>
        <v>100</v>
      </c>
      <c r="AH29" s="69">
        <f>AVERAGE(AG29:AG29)</f>
        <v>100</v>
      </c>
      <c r="AI29" s="122" t="s">
        <v>398</v>
      </c>
      <c r="AJ29" s="105">
        <v>1</v>
      </c>
      <c r="AK29" s="105">
        <v>4</v>
      </c>
      <c r="AL29" s="111">
        <f>AJ29*AK29</f>
        <v>4</v>
      </c>
      <c r="AM29" s="111" t="str">
        <f>IF(AND(AJ29=1,AK29=1),"BAJO",IF(AND(AJ29=1,AK29=2),"BAJO",IF(AND(AJ29=2,AK29=1),"BAJO",IF(AND(AJ29=2,AK29=2),"BAJO",IF(AND(AJ29=3,AK29=1),"BAJO",IF(AND(AJ29=1,AK29=3),"MODERADO",IF(AND(AJ29=2,AK29=3),"MODERADO",IF(AND(AJ29=3,AK29=2),"MODERADO",IF(AND(AJ29=4,AK29=1),"MODERADO",IF(AND(AJ29=5,AK29=1),"ALTO",IF(AND(AJ29=4,AK29=2),"ALTO",IF(AND(AJ29=3,AK29=3),"ALTO",IF(AND(AJ29=2,AK29=4),"ALTO",IF(AND(AJ29=1,AK29=4),"ALTO",IF(AND(AJ29=5,AK29=2),"ALTO",IF(AND(AJ29=4,AK29=3),"ALTO","EXTREMO"))))))))))))))))</f>
        <v>ALTO</v>
      </c>
      <c r="AN29" s="120" t="s">
        <v>399</v>
      </c>
      <c r="AO29" s="107" t="s">
        <v>111</v>
      </c>
      <c r="AP29" s="113" t="s">
        <v>316</v>
      </c>
      <c r="AQ29" s="113" t="s">
        <v>317</v>
      </c>
      <c r="AR29" s="107" t="s">
        <v>318</v>
      </c>
      <c r="AS29" s="107" t="s">
        <v>327</v>
      </c>
      <c r="AT29" s="113" t="s">
        <v>319</v>
      </c>
    </row>
    <row r="30" spans="1:46" s="83" customFormat="1" ht="183" customHeight="1" x14ac:dyDescent="0.25">
      <c r="A30" s="67">
        <v>11</v>
      </c>
      <c r="B30" s="131"/>
      <c r="C30" s="76"/>
      <c r="D30" s="77" t="s">
        <v>55</v>
      </c>
      <c r="E30" s="68"/>
      <c r="F30" s="77"/>
      <c r="G30" s="124" t="s">
        <v>320</v>
      </c>
      <c r="H30" s="79" t="s">
        <v>321</v>
      </c>
      <c r="I30" s="80" t="s">
        <v>322</v>
      </c>
      <c r="J30" s="68" t="s">
        <v>18</v>
      </c>
      <c r="K30" s="67">
        <v>2</v>
      </c>
      <c r="L30" s="67">
        <v>4</v>
      </c>
      <c r="M30" s="81">
        <f t="shared" ref="M30" si="23">K30*L30</f>
        <v>8</v>
      </c>
      <c r="N30" s="85" t="str">
        <f t="shared" ref="N30" si="24">IF(AND(K30=1,L30=1),"BAJO",IF(AND(K30=1,L30=2),"BAJO",IF(AND(K30=2,L30=1),"BAJO",IF(AND(K30=2,L30=2),"BAJO",IF(AND(K30=3,L30=1),"BAJO",IF(AND(K30=1,L30=3),"MODERADO",IF(AND(K30=2,L30=3),"MODERADO",IF(AND(K30=3,L30=2),"MODERADO",IF(AND(K30=4,L30=1),"MODERADO",IF(AND(K30=5,L30=1),"ALTO",IF(AND(K30=4,L30=2),"ALTO",IF(AND(K30=3,L30=3),"ALTO",IF(AND(K30=2,L30=4),"ALTO",IF(AND(K30=1,L30=4),"ALTO",IF(AND(K30=5,L30=2),"ALTO",IF(AND(K30=4,L30=3),"ALTO","EXTREMO"))))))))))))))))</f>
        <v>ALTO</v>
      </c>
      <c r="O30" s="84" t="s">
        <v>323</v>
      </c>
      <c r="P30" s="67" t="s">
        <v>0</v>
      </c>
      <c r="Q30" s="77" t="s">
        <v>187</v>
      </c>
      <c r="R30" s="77" t="s">
        <v>187</v>
      </c>
      <c r="S30" s="68" t="s">
        <v>145</v>
      </c>
      <c r="T30" s="77">
        <f>IF(S30="Asignado",[6]Listas!$C$30,[6]Listas!$C$31)</f>
        <v>15</v>
      </c>
      <c r="U30" s="68" t="s">
        <v>70</v>
      </c>
      <c r="V30" s="77">
        <f>IF(U30="Adecuado",[6]Listas!$C$32,[6]Listas!$C$33)</f>
        <v>15</v>
      </c>
      <c r="W30" s="68" t="s">
        <v>72</v>
      </c>
      <c r="X30" s="77">
        <f>IF(W30="Oportuna",[6]Listas!$C$34,[6]Listas!$C$35)</f>
        <v>15</v>
      </c>
      <c r="Y30" s="68" t="s">
        <v>80</v>
      </c>
      <c r="Z30" s="77">
        <f>IF(Y30="Prevenir",[6]Listas!$C$36,IF(Y30="Detectar",[6]Listas!$C$37,[6]Listas!$C$38))</f>
        <v>15</v>
      </c>
      <c r="AA30" s="68" t="s">
        <v>75</v>
      </c>
      <c r="AB30" s="77">
        <f>IF(AA30="Confiable",[6]Listas!$C$39,[6]Listas!$C$40)</f>
        <v>15</v>
      </c>
      <c r="AC30" s="68" t="s">
        <v>77</v>
      </c>
      <c r="AD30" s="77">
        <f>IF(AC30="Se investigan y resuelven oportunamente",[6]Listas!$C$41,[6]Listas!$C$42)</f>
        <v>15</v>
      </c>
      <c r="AE30" s="68" t="s">
        <v>79</v>
      </c>
      <c r="AF30" s="77">
        <f>IF(AE30="Completa",[6]Listas!$C$43,IF(AE30="Incompleta",[6]Listas!$C$44,[6]Listas!$C$45))</f>
        <v>10</v>
      </c>
      <c r="AG30" s="67">
        <f t="shared" ref="AG30" si="25">T30+V30+X30+Z30+AB30+AD30+AF30</f>
        <v>100</v>
      </c>
      <c r="AH30" s="69">
        <f>AVERAGE(AG30:AG30)</f>
        <v>100</v>
      </c>
      <c r="AI30" s="122" t="s">
        <v>398</v>
      </c>
      <c r="AJ30" s="69">
        <v>1</v>
      </c>
      <c r="AK30" s="69">
        <v>4</v>
      </c>
      <c r="AL30" s="81"/>
      <c r="AM30" s="85" t="str">
        <f t="shared" ref="AM30" si="26">IF(AND(AJ30=1,AK30=1),"BAJO",IF(AND(AJ30=1,AK30=2),"BAJO",IF(AND(AJ30=2,AK30=1),"BAJO",IF(AND(AJ30=2,AK30=2),"BAJO",IF(AND(AJ30=3,AK30=1),"BAJO",IF(AND(AJ30=1,AK30=3),"MODERADO",IF(AND(AJ30=2,AK30=3),"MODERADO",IF(AND(AJ30=3,AK30=2),"MODERADO",IF(AND(AJ30=4,AK30=1),"MODERADO",IF(AND(AJ30=5,AK30=1),"ALTO",IF(AND(AJ30=4,AK30=2),"ALTO",IF(AND(AJ30=3,AK30=3),"ALTO",IF(AND(AJ30=2,AK30=4),"ALTO",IF(AND(AJ30=1,AK30=4),"ALTO",IF(AND(AJ30=5,AK30=2),"ALTO",IF(AND(AJ30=4,AK30=3),"ALTO","EXTREMO"))))))))))))))))</f>
        <v>ALTO</v>
      </c>
      <c r="AN30" s="120" t="s">
        <v>400</v>
      </c>
      <c r="AO30" s="107" t="s">
        <v>111</v>
      </c>
      <c r="AP30" s="68" t="s">
        <v>324</v>
      </c>
      <c r="AQ30" s="68" t="s">
        <v>325</v>
      </c>
      <c r="AR30" s="68" t="s">
        <v>318</v>
      </c>
      <c r="AS30" s="77" t="s">
        <v>327</v>
      </c>
      <c r="AT30" s="68" t="s">
        <v>326</v>
      </c>
    </row>
    <row r="31" spans="1:46" s="83" customFormat="1" ht="80.099999999999994" customHeight="1" x14ac:dyDescent="0.25">
      <c r="A31" s="143">
        <v>12</v>
      </c>
      <c r="B31" s="132" t="s">
        <v>143</v>
      </c>
      <c r="C31" s="146"/>
      <c r="D31" s="77" t="s">
        <v>58</v>
      </c>
      <c r="E31" s="140" t="s">
        <v>17</v>
      </c>
      <c r="F31" s="140"/>
      <c r="G31" s="75" t="s">
        <v>329</v>
      </c>
      <c r="H31" s="146" t="s">
        <v>330</v>
      </c>
      <c r="I31" s="140" t="s">
        <v>331</v>
      </c>
      <c r="J31" s="140" t="s">
        <v>18</v>
      </c>
      <c r="K31" s="143">
        <v>2</v>
      </c>
      <c r="L31" s="143">
        <v>4</v>
      </c>
      <c r="M31" s="130">
        <f>K31*L31</f>
        <v>8</v>
      </c>
      <c r="N31" s="130" t="str">
        <f>IF(AND(K31=1,L31=1),"BAJO",IF(AND(K31=1,L31=2),"BAJO",IF(AND(K31=2,L31=1),"BAJO",IF(AND(K31=2,L31=2),"BAJO",IF(AND(K31=3,L31=1),"BAJO",IF(AND(K31=1,L31=3),"MODERADO",IF(AND(K31=2,L31=3),"MODERADO",IF(AND(K31=3,L31=2),"MODERADO",IF(AND(K31=4,L31=1),"MODERADO",IF(AND(K31=5,L31=1),"ALTO",IF(AND(K31=4,L31=2),"ALTO",IF(AND(K31=3,L31=3),"ALTO",IF(AND(K31=2,L31=4),"ALTO",IF(AND(K31=1,L31=4),"ALTO",IF(AND(K31=5,L31=2),"ALTO",IF(AND(K31=4,L31=3),"ALTO","EXTREMO"))))))))))))))))</f>
        <v>ALTO</v>
      </c>
      <c r="O31" s="68" t="s">
        <v>332</v>
      </c>
      <c r="P31" s="67" t="s">
        <v>0</v>
      </c>
      <c r="Q31" s="77" t="s">
        <v>188</v>
      </c>
      <c r="R31" s="77" t="s">
        <v>189</v>
      </c>
      <c r="S31" s="68" t="s">
        <v>145</v>
      </c>
      <c r="T31" s="77">
        <f>IF(S31="Asignado",[7]Listas!$C$30,[7]Listas!$C$31)</f>
        <v>15</v>
      </c>
      <c r="U31" s="68" t="s">
        <v>70</v>
      </c>
      <c r="V31" s="77">
        <f>IF(U31="Adecuado",[7]Listas!$C$32,[7]Listas!$C$33)</f>
        <v>15</v>
      </c>
      <c r="W31" s="68" t="s">
        <v>72</v>
      </c>
      <c r="X31" s="77">
        <f>IF(W31="Oportuna",[7]Listas!$C$34,[7]Listas!$C$35)</f>
        <v>15</v>
      </c>
      <c r="Y31" s="68" t="s">
        <v>80</v>
      </c>
      <c r="Z31" s="77">
        <f>IF(Y31="Prevenir",[7]Listas!$C$36,IF(Y31="Detectar",[7]Listas!$C$37,[7]Listas!$C$38))</f>
        <v>15</v>
      </c>
      <c r="AA31" s="68" t="s">
        <v>75</v>
      </c>
      <c r="AB31" s="77">
        <f>IF(AA31="Confiable",[7]Listas!$C$39,[7]Listas!$C$40)</f>
        <v>15</v>
      </c>
      <c r="AC31" s="68" t="s">
        <v>77</v>
      </c>
      <c r="AD31" s="77">
        <f>IF(AC31="Se investigan y resuelven oportunamente",[7]Listas!$C$41,[7]Listas!$C$42)</f>
        <v>15</v>
      </c>
      <c r="AE31" s="68" t="s">
        <v>79</v>
      </c>
      <c r="AF31" s="77">
        <f>IF(AE31="Completa",[7]Listas!$C$43,IF(AE31="Incompleta",[7]Listas!$C$44,[7]Listas!$C$45))</f>
        <v>10</v>
      </c>
      <c r="AG31" s="67">
        <f>T31+V31+X31+Z31+AB31+AD31+AF31</f>
        <v>100</v>
      </c>
      <c r="AH31" s="143">
        <f>AVERAGE(AG31:AG32)</f>
        <v>100</v>
      </c>
      <c r="AI31" s="140" t="s">
        <v>398</v>
      </c>
      <c r="AJ31" s="143">
        <v>1</v>
      </c>
      <c r="AK31" s="143">
        <v>4</v>
      </c>
      <c r="AL31" s="130">
        <f>AJ31*AK31</f>
        <v>4</v>
      </c>
      <c r="AM31" s="130" t="str">
        <f>IF(AND(AJ31=1,AK31=1),"BAJO",IF(AND(AJ31=1,AK31=2),"BAJO",IF(AND(AJ31=2,AK31=1),"BAJO",IF(AND(AJ31=2,AK31=2),"BAJO",IF(AND(AJ31=3,AK31=1),"BAJO",IF(AND(AJ31=1,AK31=3),"MODERADO",IF(AND(AJ31=2,AK31=3),"MODERADO",IF(AND(AJ31=3,AK31=2),"MODERADO",IF(AND(AJ31=4,AK31=1),"MODERADO",IF(AND(AJ31=5,AK31=1),"ALTO",IF(AND(AJ31=4,AK31=2),"ALTO",IF(AND(AJ31=3,AK31=3),"ALTO",IF(AND(AJ31=2,AK31=4),"ALTO",IF(AND(AJ31=1,AK31=4),"ALTO",IF(AND(AJ31=5,AK31=2),"ALTO",IF(AND(AJ31=4,AK31=3),"ALTO","EXTREMO"))))))))))))))))</f>
        <v>ALTO</v>
      </c>
      <c r="AN31" s="135" t="s">
        <v>401</v>
      </c>
      <c r="AO31" s="140" t="s">
        <v>111</v>
      </c>
      <c r="AP31" s="140" t="s">
        <v>333</v>
      </c>
      <c r="AQ31" s="140" t="s">
        <v>334</v>
      </c>
      <c r="AR31" s="140" t="s">
        <v>335</v>
      </c>
      <c r="AS31" s="138" t="s">
        <v>347</v>
      </c>
      <c r="AT31" s="140" t="s">
        <v>336</v>
      </c>
    </row>
    <row r="32" spans="1:46" s="83" customFormat="1" ht="126" customHeight="1" x14ac:dyDescent="0.25">
      <c r="A32" s="145"/>
      <c r="B32" s="133"/>
      <c r="C32" s="147"/>
      <c r="D32" s="77" t="s">
        <v>55</v>
      </c>
      <c r="E32" s="142"/>
      <c r="F32" s="142"/>
      <c r="G32" s="75" t="s">
        <v>337</v>
      </c>
      <c r="H32" s="147"/>
      <c r="I32" s="142"/>
      <c r="J32" s="142"/>
      <c r="K32" s="145"/>
      <c r="L32" s="145"/>
      <c r="M32" s="131"/>
      <c r="N32" s="131"/>
      <c r="O32" s="78" t="s">
        <v>338</v>
      </c>
      <c r="P32" s="67" t="s">
        <v>0</v>
      </c>
      <c r="Q32" s="77" t="s">
        <v>187</v>
      </c>
      <c r="R32" s="77" t="s">
        <v>189</v>
      </c>
      <c r="S32" s="68" t="s">
        <v>145</v>
      </c>
      <c r="T32" s="77">
        <f>IF(S32="Asignado",[7]Listas!$C$30,[7]Listas!$C$31)</f>
        <v>15</v>
      </c>
      <c r="U32" s="68" t="s">
        <v>70</v>
      </c>
      <c r="V32" s="77">
        <f>IF(U32="Adecuado",[7]Listas!$C$32,[7]Listas!$C$33)</f>
        <v>15</v>
      </c>
      <c r="W32" s="68" t="s">
        <v>72</v>
      </c>
      <c r="X32" s="77">
        <f>IF(W32="Oportuna",[7]Listas!$C$34,[7]Listas!$C$35)</f>
        <v>15</v>
      </c>
      <c r="Y32" s="68" t="s">
        <v>80</v>
      </c>
      <c r="Z32" s="77">
        <f>IF(Y32="Prevenir",[7]Listas!$C$36,IF(Y32="Detectar",[7]Listas!$C$37,[7]Listas!$C$38))</f>
        <v>15</v>
      </c>
      <c r="AA32" s="68" t="s">
        <v>75</v>
      </c>
      <c r="AB32" s="77">
        <f>IF(AA32="Confiable",[7]Listas!$C$39,[7]Listas!$C$40)</f>
        <v>15</v>
      </c>
      <c r="AC32" s="68" t="s">
        <v>77</v>
      </c>
      <c r="AD32" s="77">
        <f>IF(AC32="Se investigan y resuelven oportunamente",[7]Listas!$C$41,[7]Listas!$C$42)</f>
        <v>15</v>
      </c>
      <c r="AE32" s="68" t="s">
        <v>79</v>
      </c>
      <c r="AF32" s="77">
        <f>IF(AE32="Completa",[7]Listas!$C$43,IF(AE32="Incompleta",[7]Listas!$C$44,[7]Listas!$C$45))</f>
        <v>10</v>
      </c>
      <c r="AG32" s="67">
        <f t="shared" ref="AG32:AG33" si="27">T32+V32+X32+Z32+AB32+AD32+AF32</f>
        <v>100</v>
      </c>
      <c r="AH32" s="145"/>
      <c r="AI32" s="141"/>
      <c r="AJ32" s="145"/>
      <c r="AK32" s="145"/>
      <c r="AL32" s="131"/>
      <c r="AM32" s="131"/>
      <c r="AN32" s="137"/>
      <c r="AO32" s="142"/>
      <c r="AP32" s="142"/>
      <c r="AQ32" s="142"/>
      <c r="AR32" s="142"/>
      <c r="AS32" s="139"/>
      <c r="AT32" s="142"/>
    </row>
    <row r="33" spans="1:46" s="83" customFormat="1" ht="50.1" customHeight="1" x14ac:dyDescent="0.25">
      <c r="A33" s="143">
        <v>13</v>
      </c>
      <c r="B33" s="133"/>
      <c r="C33" s="146"/>
      <c r="D33" s="77" t="s">
        <v>57</v>
      </c>
      <c r="E33" s="68"/>
      <c r="F33" s="140"/>
      <c r="G33" s="75" t="s">
        <v>339</v>
      </c>
      <c r="H33" s="146" t="s">
        <v>340</v>
      </c>
      <c r="I33" s="140" t="s">
        <v>341</v>
      </c>
      <c r="J33" s="140" t="s">
        <v>18</v>
      </c>
      <c r="K33" s="143">
        <v>2</v>
      </c>
      <c r="L33" s="143">
        <v>4</v>
      </c>
      <c r="M33" s="130">
        <f t="shared" ref="M33" si="28">K33*L33</f>
        <v>8</v>
      </c>
      <c r="N33" s="130" t="str">
        <f t="shared" ref="N33" si="29">IF(AND(K33=1,L33=1),"BAJO",IF(AND(K33=1,L33=2),"BAJO",IF(AND(K33=2,L33=1),"BAJO",IF(AND(K33=2,L33=2),"BAJO",IF(AND(K33=3,L33=1),"BAJO",IF(AND(K33=1,L33=3),"MODERADO",IF(AND(K33=2,L33=3),"MODERADO",IF(AND(K33=3,L33=2),"MODERADO",IF(AND(K33=4,L33=1),"MODERADO",IF(AND(K33=5,L33=1),"ALTO",IF(AND(K33=4,L33=2),"ALTO",IF(AND(K33=3,L33=3),"ALTO",IF(AND(K33=2,L33=4),"ALTO",IF(AND(K33=1,L33=4),"ALTO",IF(AND(K33=5,L33=2),"ALTO",IF(AND(K33=4,L33=3),"ALTO","EXTREMO"))))))))))))))))</f>
        <v>ALTO</v>
      </c>
      <c r="O33" s="135" t="s">
        <v>342</v>
      </c>
      <c r="P33" s="143" t="s">
        <v>0</v>
      </c>
      <c r="Q33" s="140" t="s">
        <v>187</v>
      </c>
      <c r="R33" s="140" t="s">
        <v>189</v>
      </c>
      <c r="S33" s="140" t="s">
        <v>145</v>
      </c>
      <c r="T33" s="140">
        <f>IF(S33="Asignado",[7]Listas!$C$30,[7]Listas!$C$31)</f>
        <v>15</v>
      </c>
      <c r="U33" s="140" t="s">
        <v>70</v>
      </c>
      <c r="V33" s="140">
        <f>IF(U33="Adecuado",[7]Listas!$C$32,[7]Listas!$C$33)</f>
        <v>15</v>
      </c>
      <c r="W33" s="140" t="s">
        <v>72</v>
      </c>
      <c r="X33" s="140">
        <f>IF(W33="Oportuna",[7]Listas!$C$34,[7]Listas!$C$35)</f>
        <v>15</v>
      </c>
      <c r="Y33" s="140" t="s">
        <v>80</v>
      </c>
      <c r="Z33" s="140">
        <f>IF(Y33="Prevenir",[7]Listas!$C$36,IF(Y33="Detectar",[7]Listas!$C$37,[7]Listas!$C$38))</f>
        <v>15</v>
      </c>
      <c r="AA33" s="140" t="s">
        <v>75</v>
      </c>
      <c r="AB33" s="140">
        <f>IF(AA33="Confiable",[7]Listas!$C$39,[7]Listas!$C$40)</f>
        <v>15</v>
      </c>
      <c r="AC33" s="140" t="s">
        <v>77</v>
      </c>
      <c r="AD33" s="140">
        <f>IF(AC33="Se investigan y resuelven oportunamente",[7]Listas!$C$41,[7]Listas!$C$42)</f>
        <v>15</v>
      </c>
      <c r="AE33" s="140" t="s">
        <v>79</v>
      </c>
      <c r="AF33" s="140">
        <f>IF(AE33="Completa",[7]Listas!$C$43,IF(AE33="Incompleta",[7]Listas!$C$44,[7]Listas!$C$45))</f>
        <v>10</v>
      </c>
      <c r="AG33" s="143">
        <f t="shared" si="27"/>
        <v>100</v>
      </c>
      <c r="AH33" s="143">
        <f>AVERAGE(AG33:AG33)</f>
        <v>100</v>
      </c>
      <c r="AI33" s="135" t="s">
        <v>398</v>
      </c>
      <c r="AJ33" s="143">
        <v>1</v>
      </c>
      <c r="AK33" s="143">
        <v>4</v>
      </c>
      <c r="AL33" s="130">
        <f t="shared" ref="AL33" si="30">+AJ33*AK33</f>
        <v>4</v>
      </c>
      <c r="AM33" s="130" t="str">
        <f t="shared" ref="AM33" si="31">IF(AND(AJ33=1,AK33=1),"BAJO",IF(AND(AJ33=1,AK33=2),"BAJO",IF(AND(AJ33=2,AK33=1),"BAJO",IF(AND(AJ33=2,AK33=2),"BAJO",IF(AND(AJ33=3,AK33=1),"BAJO",IF(AND(AJ33=1,AK33=3),"MODERADO",IF(AND(AJ33=2,AK33=3),"MODERADO",IF(AND(AJ33=3,AK33=2),"MODERADO",IF(AND(AJ33=4,AK33=1),"MODERADO",IF(AND(AJ33=5,AK33=1),"ALTO",IF(AND(AJ33=4,AK33=2),"ALTO",IF(AND(AJ33=3,AK33=3),"ALTO",IF(AND(AJ33=2,AK33=4),"ALTO",IF(AND(AJ33=1,AK33=4),"ALTO",IF(AND(AJ33=5,AK33=2),"ALTO",IF(AND(AJ33=4,AK33=3),"ALTO","EXTREMO"))))))))))))))))</f>
        <v>ALTO</v>
      </c>
      <c r="AN33" s="135" t="s">
        <v>401</v>
      </c>
      <c r="AO33" s="140" t="s">
        <v>111</v>
      </c>
      <c r="AP33" s="140" t="s">
        <v>343</v>
      </c>
      <c r="AQ33" s="140" t="s">
        <v>344</v>
      </c>
      <c r="AR33" s="140" t="s">
        <v>335</v>
      </c>
      <c r="AS33" s="138" t="s">
        <v>347</v>
      </c>
      <c r="AT33" s="140" t="s">
        <v>345</v>
      </c>
    </row>
    <row r="34" spans="1:46" s="83" customFormat="1" ht="134.25" customHeight="1" x14ac:dyDescent="0.25">
      <c r="A34" s="145"/>
      <c r="B34" s="134"/>
      <c r="C34" s="147"/>
      <c r="D34" s="77" t="s">
        <v>58</v>
      </c>
      <c r="E34" s="77" t="s">
        <v>17</v>
      </c>
      <c r="F34" s="142"/>
      <c r="G34" s="75" t="s">
        <v>346</v>
      </c>
      <c r="H34" s="147"/>
      <c r="I34" s="142"/>
      <c r="J34" s="142"/>
      <c r="K34" s="145"/>
      <c r="L34" s="145"/>
      <c r="M34" s="131"/>
      <c r="N34" s="131"/>
      <c r="O34" s="137"/>
      <c r="P34" s="145"/>
      <c r="Q34" s="142"/>
      <c r="R34" s="142"/>
      <c r="S34" s="142"/>
      <c r="T34" s="142"/>
      <c r="U34" s="142"/>
      <c r="V34" s="142"/>
      <c r="W34" s="142"/>
      <c r="X34" s="142"/>
      <c r="Y34" s="142"/>
      <c r="Z34" s="142"/>
      <c r="AA34" s="142"/>
      <c r="AB34" s="142"/>
      <c r="AC34" s="142"/>
      <c r="AD34" s="142"/>
      <c r="AE34" s="142"/>
      <c r="AF34" s="142"/>
      <c r="AG34" s="145"/>
      <c r="AH34" s="145"/>
      <c r="AI34" s="137"/>
      <c r="AJ34" s="145"/>
      <c r="AK34" s="145"/>
      <c r="AL34" s="131"/>
      <c r="AM34" s="131"/>
      <c r="AN34" s="137"/>
      <c r="AO34" s="142"/>
      <c r="AP34" s="142"/>
      <c r="AQ34" s="142"/>
      <c r="AR34" s="142"/>
      <c r="AS34" s="139"/>
      <c r="AT34" s="142"/>
    </row>
    <row r="35" spans="1:46" s="83" customFormat="1" ht="108" customHeight="1" x14ac:dyDescent="0.25">
      <c r="A35" s="143">
        <v>14</v>
      </c>
      <c r="B35" s="128" t="s">
        <v>184</v>
      </c>
      <c r="C35" s="140"/>
      <c r="D35" s="77" t="s">
        <v>57</v>
      </c>
      <c r="E35" s="77" t="s">
        <v>180</v>
      </c>
      <c r="F35" s="87" t="s">
        <v>348</v>
      </c>
      <c r="G35" s="126" t="s">
        <v>349</v>
      </c>
      <c r="H35" s="146" t="s">
        <v>350</v>
      </c>
      <c r="I35" s="114" t="s">
        <v>351</v>
      </c>
      <c r="J35" s="140" t="s">
        <v>18</v>
      </c>
      <c r="K35" s="143">
        <v>1</v>
      </c>
      <c r="L35" s="143">
        <v>3</v>
      </c>
      <c r="M35" s="130">
        <f t="shared" ref="M35" si="32">K35*L35</f>
        <v>3</v>
      </c>
      <c r="N35" s="130" t="str">
        <f t="shared" ref="N35" si="33">IF(AND(K35=1,L35=1),"BAJO",IF(AND(K35=1,L35=2),"BAJO",IF(AND(K35=2,L35=1),"BAJO",IF(AND(K35=2,L35=2),"BAJO",IF(AND(K35=3,L35=1),"BAJO",IF(AND(K35=1,L35=3),"MODERADO",IF(AND(K35=2,L35=3),"MODERADO",IF(AND(K35=3,L35=2),"MODERADO",IF(AND(K35=4,L35=1),"MODERADO",IF(AND(K35=5,L35=1),"ALTO",IF(AND(K35=4,L35=2),"ALTO",IF(AND(K35=3,L35=3),"ALTO",IF(AND(K35=2,L35=4),"ALTO",IF(AND(K35=1,L35=4),"ALTO",IF(AND(K35=5,L35=2),"ALTO",IF(AND(K35=4,L35=3),"ALTO","EXTREMO"))))))))))))))))</f>
        <v>MODERADO</v>
      </c>
      <c r="O35" s="76" t="s">
        <v>352</v>
      </c>
      <c r="P35" s="67" t="s">
        <v>0</v>
      </c>
      <c r="Q35" s="77" t="s">
        <v>187</v>
      </c>
      <c r="R35" s="77" t="s">
        <v>189</v>
      </c>
      <c r="S35" s="68" t="s">
        <v>145</v>
      </c>
      <c r="T35" s="77">
        <f>IF(S35="Asignado",[8]Listas!$C$30,[8]Listas!$C$31)</f>
        <v>15</v>
      </c>
      <c r="U35" s="68" t="s">
        <v>70</v>
      </c>
      <c r="V35" s="77">
        <f>IF(U35="Adecuado",[8]Listas!$C$32,[8]Listas!$C$33)</f>
        <v>15</v>
      </c>
      <c r="W35" s="68" t="s">
        <v>72</v>
      </c>
      <c r="X35" s="77">
        <f>IF(W35="Oportuna",[8]Listas!$C$34,[8]Listas!$C$35)</f>
        <v>15</v>
      </c>
      <c r="Y35" s="68" t="s">
        <v>80</v>
      </c>
      <c r="Z35" s="77">
        <f>IF(Y35="Prevenir",[8]Listas!$C$36,IF(Y35="Detectar",[8]Listas!$C$37,[8]Listas!$C$38))</f>
        <v>15</v>
      </c>
      <c r="AA35" s="68" t="s">
        <v>75</v>
      </c>
      <c r="AB35" s="77">
        <f>IF(AA35="Confiable",[8]Listas!$C$39,[8]Listas!$C$40)</f>
        <v>15</v>
      </c>
      <c r="AC35" s="68" t="s">
        <v>77</v>
      </c>
      <c r="AD35" s="77">
        <f>IF(AC35="Se investigan y resuelven oportunamente",[8]Listas!$C$41,[8]Listas!$C$42)</f>
        <v>15</v>
      </c>
      <c r="AE35" s="68" t="s">
        <v>79</v>
      </c>
      <c r="AF35" s="77">
        <f>IF(AE35="Completa",[8]Listas!$C$43,IF(AE35="Incompleta",[8]Listas!$C$44,[8]Listas!$C$45))</f>
        <v>10</v>
      </c>
      <c r="AG35" s="67">
        <f t="shared" ref="AG35:AG37" si="34">T35+V35+X35+Z35+AB35+AD35+AF35</f>
        <v>100</v>
      </c>
      <c r="AH35" s="193">
        <f>+(AG35+AG36+AG37)/3</f>
        <v>100</v>
      </c>
      <c r="AI35" s="190" t="s">
        <v>402</v>
      </c>
      <c r="AJ35" s="143">
        <v>1</v>
      </c>
      <c r="AK35" s="143">
        <v>3</v>
      </c>
      <c r="AL35" s="130">
        <f t="shared" ref="AL35" si="35">AJ35*AK35</f>
        <v>3</v>
      </c>
      <c r="AM35" s="212" t="str">
        <f t="shared" ref="AM35" si="36">IF(AND(AJ35=1,AK35=1),"BAJO",IF(AND(AJ35=1,AK35=2),"BAJO",IF(AND(AJ35=2,AK35=1),"BAJO",IF(AND(AJ35=2,AK35=2),"BAJO",IF(AND(AJ35=3,AK35=1),"BAJO",IF(AND(AJ35=1,AK35=3),"MODERADO",IF(AND(AJ35=2,AK35=3),"MODERADO",IF(AND(AJ35=3,AK35=2),"MODERADO",IF(AND(AJ35=4,AK35=1),"MODERADO",IF(AND(AJ35=5,AK35=1),"ALTO",IF(AND(AJ35=4,AK35=2),"ALTO",IF(AND(AJ35=3,AK35=3),"ALTO",IF(AND(AJ35=2,AK35=4),"ALTO",IF(AND(AJ35=1,AK35=4),"ALTO",IF(AND(AJ35=5,AK35=2),"ALTO",IF(AND(AJ35=4,AK35=3),"ALTO","EXTREMO"))))))))))))))))</f>
        <v>MODERADO</v>
      </c>
      <c r="AN35" s="135" t="s">
        <v>403</v>
      </c>
      <c r="AO35" s="186" t="s">
        <v>111</v>
      </c>
      <c r="AP35" s="73" t="s">
        <v>353</v>
      </c>
      <c r="AQ35" s="73" t="s">
        <v>354</v>
      </c>
      <c r="AR35" s="73" t="s">
        <v>355</v>
      </c>
      <c r="AS35" s="116" t="s">
        <v>356</v>
      </c>
      <c r="AT35" s="73" t="s">
        <v>357</v>
      </c>
    </row>
    <row r="36" spans="1:46" s="83" customFormat="1" ht="183.75" customHeight="1" x14ac:dyDescent="0.25">
      <c r="A36" s="144"/>
      <c r="B36" s="161"/>
      <c r="C36" s="141"/>
      <c r="D36" s="140" t="s">
        <v>55</v>
      </c>
      <c r="E36" s="140" t="s">
        <v>180</v>
      </c>
      <c r="F36" s="146" t="s">
        <v>358</v>
      </c>
      <c r="G36" s="187" t="s">
        <v>359</v>
      </c>
      <c r="H36" s="160"/>
      <c r="I36" s="114" t="s">
        <v>360</v>
      </c>
      <c r="J36" s="141"/>
      <c r="K36" s="144"/>
      <c r="L36" s="144"/>
      <c r="M36" s="148"/>
      <c r="N36" s="148"/>
      <c r="O36" s="76" t="s">
        <v>361</v>
      </c>
      <c r="P36" s="67" t="s">
        <v>0</v>
      </c>
      <c r="Q36" s="77" t="s">
        <v>187</v>
      </c>
      <c r="R36" s="77" t="s">
        <v>189</v>
      </c>
      <c r="S36" s="68" t="s">
        <v>145</v>
      </c>
      <c r="T36" s="77">
        <f>IF(S36="Asignado",[8]Listas!$C$30,[8]Listas!$C$31)</f>
        <v>15</v>
      </c>
      <c r="U36" s="68" t="s">
        <v>70</v>
      </c>
      <c r="V36" s="77">
        <f>IF(U36="Adecuado",[8]Listas!$C$32,[8]Listas!$C$33)</f>
        <v>15</v>
      </c>
      <c r="W36" s="68" t="s">
        <v>72</v>
      </c>
      <c r="X36" s="77">
        <f>IF(W36="Oportuna",[8]Listas!$C$34,[8]Listas!$C$35)</f>
        <v>15</v>
      </c>
      <c r="Y36" s="68" t="s">
        <v>80</v>
      </c>
      <c r="Z36" s="77">
        <f>IF(Y36="Prevenir",[8]Listas!$C$36,IF(Y36="Detectar",[8]Listas!$C$37,[8]Listas!$C$38))</f>
        <v>15</v>
      </c>
      <c r="AA36" s="68" t="s">
        <v>75</v>
      </c>
      <c r="AB36" s="77">
        <f>IF(AA36="Confiable",[8]Listas!$C$39,[8]Listas!$C$40)</f>
        <v>15</v>
      </c>
      <c r="AC36" s="68" t="s">
        <v>77</v>
      </c>
      <c r="AD36" s="77">
        <f>IF(AC36="Se investigan y resuelven oportunamente",[8]Listas!$C$41,[8]Listas!$C$42)</f>
        <v>15</v>
      </c>
      <c r="AE36" s="68" t="s">
        <v>79</v>
      </c>
      <c r="AF36" s="77">
        <f>IF(AE36="Completa",[8]Listas!$C$43,IF(AE36="Incompleta",[8]Listas!$C$44,[8]Listas!$C$45))</f>
        <v>10</v>
      </c>
      <c r="AG36" s="67">
        <f t="shared" si="34"/>
        <v>100</v>
      </c>
      <c r="AH36" s="194"/>
      <c r="AI36" s="191"/>
      <c r="AJ36" s="144"/>
      <c r="AK36" s="144"/>
      <c r="AL36" s="148"/>
      <c r="AM36" s="212"/>
      <c r="AN36" s="136"/>
      <c r="AO36" s="186"/>
      <c r="AP36" s="196" t="s">
        <v>362</v>
      </c>
      <c r="AQ36" s="196" t="s">
        <v>363</v>
      </c>
      <c r="AR36" s="196" t="s">
        <v>355</v>
      </c>
      <c r="AS36" s="199" t="s">
        <v>37</v>
      </c>
      <c r="AT36" s="196" t="s">
        <v>364</v>
      </c>
    </row>
    <row r="37" spans="1:46" s="83" customFormat="1" ht="69.75" customHeight="1" x14ac:dyDescent="0.25">
      <c r="A37" s="144"/>
      <c r="B37" s="161"/>
      <c r="C37" s="141"/>
      <c r="D37" s="141"/>
      <c r="E37" s="141"/>
      <c r="F37" s="160"/>
      <c r="G37" s="188"/>
      <c r="H37" s="160"/>
      <c r="I37" s="114" t="s">
        <v>365</v>
      </c>
      <c r="J37" s="141"/>
      <c r="K37" s="144"/>
      <c r="L37" s="144"/>
      <c r="M37" s="148"/>
      <c r="N37" s="148"/>
      <c r="O37" s="149" t="s">
        <v>366</v>
      </c>
      <c r="P37" s="143" t="s">
        <v>0</v>
      </c>
      <c r="Q37" s="140" t="s">
        <v>187</v>
      </c>
      <c r="R37" s="140" t="s">
        <v>189</v>
      </c>
      <c r="S37" s="140" t="s">
        <v>145</v>
      </c>
      <c r="T37" s="140">
        <f>IF(S37="Asignado",[8]Listas!$C$30,[8]Listas!$C$31)</f>
        <v>15</v>
      </c>
      <c r="U37" s="140" t="s">
        <v>70</v>
      </c>
      <c r="V37" s="140">
        <f>IF(U37="Adecuado",[8]Listas!$C$32,[8]Listas!$C$33)</f>
        <v>15</v>
      </c>
      <c r="W37" s="140" t="s">
        <v>72</v>
      </c>
      <c r="X37" s="140">
        <f>IF(W37="Oportuna",[8]Listas!$C$34,[8]Listas!$C$35)</f>
        <v>15</v>
      </c>
      <c r="Y37" s="140" t="s">
        <v>80</v>
      </c>
      <c r="Z37" s="140">
        <f>IF(Y37="Prevenir",[8]Listas!$C$36,IF(Y37="Detectar",[8]Listas!$C$37,[8]Listas!$C$38))</f>
        <v>15</v>
      </c>
      <c r="AA37" s="140" t="s">
        <v>75</v>
      </c>
      <c r="AB37" s="140">
        <f>IF(AA37="Confiable",[8]Listas!$C$39,[8]Listas!$C$40)</f>
        <v>15</v>
      </c>
      <c r="AC37" s="140" t="s">
        <v>77</v>
      </c>
      <c r="AD37" s="140">
        <f>IF(AC37="Se investigan y resuelven oportunamente",[8]Listas!$C$41,[8]Listas!$C$42)</f>
        <v>15</v>
      </c>
      <c r="AE37" s="140" t="s">
        <v>79</v>
      </c>
      <c r="AF37" s="140">
        <f>IF(AE37="Completa",[8]Listas!$C$43,IF(AE37="Incompleta",[8]Listas!$C$44,[8]Listas!$C$45))</f>
        <v>10</v>
      </c>
      <c r="AG37" s="143">
        <f t="shared" si="34"/>
        <v>100</v>
      </c>
      <c r="AH37" s="194"/>
      <c r="AI37" s="191"/>
      <c r="AJ37" s="144"/>
      <c r="AK37" s="144"/>
      <c r="AL37" s="148"/>
      <c r="AM37" s="212"/>
      <c r="AN37" s="136"/>
      <c r="AO37" s="186"/>
      <c r="AP37" s="197"/>
      <c r="AQ37" s="197"/>
      <c r="AR37" s="197"/>
      <c r="AS37" s="200"/>
      <c r="AT37" s="197"/>
    </row>
    <row r="38" spans="1:46" s="83" customFormat="1" ht="87.75" customHeight="1" x14ac:dyDescent="0.25">
      <c r="A38" s="145"/>
      <c r="B38" s="129"/>
      <c r="C38" s="142"/>
      <c r="D38" s="142"/>
      <c r="E38" s="142"/>
      <c r="F38" s="147"/>
      <c r="G38" s="189"/>
      <c r="H38" s="147"/>
      <c r="I38" s="114" t="s">
        <v>367</v>
      </c>
      <c r="J38" s="142"/>
      <c r="K38" s="145"/>
      <c r="L38" s="145"/>
      <c r="M38" s="131"/>
      <c r="N38" s="131"/>
      <c r="O38" s="151"/>
      <c r="P38" s="145"/>
      <c r="Q38" s="142"/>
      <c r="R38" s="142"/>
      <c r="S38" s="142"/>
      <c r="T38" s="142"/>
      <c r="U38" s="142"/>
      <c r="V38" s="142"/>
      <c r="W38" s="142"/>
      <c r="X38" s="142"/>
      <c r="Y38" s="142"/>
      <c r="Z38" s="142"/>
      <c r="AA38" s="142"/>
      <c r="AB38" s="142"/>
      <c r="AC38" s="142"/>
      <c r="AD38" s="142"/>
      <c r="AE38" s="142"/>
      <c r="AF38" s="142"/>
      <c r="AG38" s="145"/>
      <c r="AH38" s="195"/>
      <c r="AI38" s="192"/>
      <c r="AJ38" s="145"/>
      <c r="AK38" s="145"/>
      <c r="AL38" s="131"/>
      <c r="AM38" s="212"/>
      <c r="AN38" s="137"/>
      <c r="AO38" s="186"/>
      <c r="AP38" s="198"/>
      <c r="AQ38" s="198"/>
      <c r="AR38" s="198"/>
      <c r="AS38" s="201"/>
      <c r="AT38" s="198"/>
    </row>
    <row r="39" spans="1:46" s="118" customFormat="1" ht="14.25" customHeight="1" x14ac:dyDescent="0.25">
      <c r="A39" s="143">
        <v>15</v>
      </c>
      <c r="B39" s="128" t="s">
        <v>185</v>
      </c>
      <c r="C39" s="202"/>
      <c r="D39" s="140" t="s">
        <v>57</v>
      </c>
      <c r="E39" s="140" t="s">
        <v>180</v>
      </c>
      <c r="F39" s="205"/>
      <c r="G39" s="135" t="s">
        <v>369</v>
      </c>
      <c r="H39" s="186" t="s">
        <v>370</v>
      </c>
      <c r="I39" s="210" t="s">
        <v>371</v>
      </c>
      <c r="J39" s="186" t="s">
        <v>18</v>
      </c>
      <c r="K39" s="211">
        <v>1</v>
      </c>
      <c r="L39" s="211">
        <v>4</v>
      </c>
      <c r="M39" s="212">
        <v>4</v>
      </c>
      <c r="N39" s="212" t="str">
        <f t="shared" ref="N39" si="37">IF(AND(K39=1,L39=1),"BAJO",IF(AND(K39=1,L39=2),"BAJO",IF(AND(K39=2,L39=1),"BAJO",IF(AND(K39=2,L39=2),"BAJO",IF(AND(K39=3,L39=1),"BAJO",IF(AND(K39=1,L39=3),"MODERADO",IF(AND(K39=2,L39=3),"MODERADO",IF(AND(K39=3,L39=2),"MODERADO",IF(AND(K39=4,L39=1),"MODERADO",IF(AND(K39=5,L39=1),"ALTO",IF(AND(K39=4,L39=2),"ALTO",IF(AND(K39=3,L39=3),"ALTO",IF(AND(K39=2,L39=4),"ALTO",IF(AND(K39=1,L39=4),"ALTO",IF(AND(K39=5,L39=2),"ALTO",IF(AND(K39=4,L39=3),"ALTO","EXTREMO"))))))))))))))))</f>
        <v>ALTO</v>
      </c>
      <c r="O39" s="213" t="s">
        <v>372</v>
      </c>
      <c r="P39" s="140" t="s">
        <v>0</v>
      </c>
      <c r="Q39" s="140" t="s">
        <v>187</v>
      </c>
      <c r="R39" s="140" t="s">
        <v>187</v>
      </c>
      <c r="S39" s="140" t="s">
        <v>145</v>
      </c>
      <c r="T39" s="140">
        <v>15</v>
      </c>
      <c r="U39" s="140" t="s">
        <v>70</v>
      </c>
      <c r="V39" s="140">
        <v>15</v>
      </c>
      <c r="W39" s="140" t="s">
        <v>72</v>
      </c>
      <c r="X39" s="140">
        <v>15</v>
      </c>
      <c r="Y39" s="140" t="s">
        <v>80</v>
      </c>
      <c r="Z39" s="140">
        <v>15</v>
      </c>
      <c r="AA39" s="140" t="s">
        <v>75</v>
      </c>
      <c r="AB39" s="140">
        <v>15</v>
      </c>
      <c r="AC39" s="140" t="s">
        <v>77</v>
      </c>
      <c r="AD39" s="140">
        <v>15</v>
      </c>
      <c r="AE39" s="140" t="s">
        <v>79</v>
      </c>
      <c r="AF39" s="140">
        <v>10</v>
      </c>
      <c r="AG39" s="140">
        <v>100</v>
      </c>
      <c r="AH39" s="211">
        <v>100</v>
      </c>
      <c r="AI39" s="135" t="s">
        <v>404</v>
      </c>
      <c r="AJ39" s="211">
        <v>1</v>
      </c>
      <c r="AK39" s="211">
        <v>3</v>
      </c>
      <c r="AL39" s="212">
        <v>3</v>
      </c>
      <c r="AM39" s="212" t="str">
        <f t="shared" ref="AM39" si="38">IF(AND(AJ39=1,AK39=1),"BAJO",IF(AND(AJ39=1,AK39=2),"BAJO",IF(AND(AJ39=2,AK39=1),"BAJO",IF(AND(AJ39=2,AK39=2),"BAJO",IF(AND(AJ39=3,AK39=1),"BAJO",IF(AND(AJ39=1,AK39=3),"MODERADO",IF(AND(AJ39=2,AK39=3),"MODERADO",IF(AND(AJ39=3,AK39=2),"MODERADO",IF(AND(AJ39=4,AK39=1),"MODERADO",IF(AND(AJ39=5,AK39=1),"ALTO",IF(AND(AJ39=4,AK39=2),"ALTO",IF(AND(AJ39=3,AK39=3),"ALTO",IF(AND(AJ39=2,AK39=4),"ALTO",IF(AND(AJ39=1,AK39=4),"ALTO",IF(AND(AJ39=5,AK39=2),"ALTO",IF(AND(AJ39=4,AK39=3),"ALTO","EXTREMO"))))))))))))))))</f>
        <v>MODERADO</v>
      </c>
      <c r="AN39" s="135" t="s">
        <v>405</v>
      </c>
      <c r="AO39" s="186" t="s">
        <v>111</v>
      </c>
      <c r="AP39" s="202" t="s">
        <v>373</v>
      </c>
      <c r="AQ39" s="186" t="s">
        <v>374</v>
      </c>
      <c r="AR39" s="186" t="s">
        <v>375</v>
      </c>
      <c r="AS39" s="186" t="s">
        <v>376</v>
      </c>
      <c r="AT39" s="186" t="s">
        <v>377</v>
      </c>
    </row>
    <row r="40" spans="1:46" s="118" customFormat="1" ht="14.25" customHeight="1" x14ac:dyDescent="0.25">
      <c r="A40" s="144"/>
      <c r="B40" s="161"/>
      <c r="C40" s="202"/>
      <c r="D40" s="141"/>
      <c r="E40" s="203"/>
      <c r="F40" s="206"/>
      <c r="G40" s="208"/>
      <c r="H40" s="186"/>
      <c r="I40" s="210"/>
      <c r="J40" s="186"/>
      <c r="K40" s="211"/>
      <c r="L40" s="211"/>
      <c r="M40" s="212"/>
      <c r="N40" s="212"/>
      <c r="O40" s="214"/>
      <c r="P40" s="203"/>
      <c r="Q40" s="203"/>
      <c r="R40" s="203"/>
      <c r="S40" s="203"/>
      <c r="T40" s="203">
        <v>0</v>
      </c>
      <c r="U40" s="203"/>
      <c r="V40" s="203">
        <v>0</v>
      </c>
      <c r="W40" s="203"/>
      <c r="X40" s="203">
        <v>0</v>
      </c>
      <c r="Y40" s="203"/>
      <c r="Z40" s="203">
        <v>0</v>
      </c>
      <c r="AA40" s="203"/>
      <c r="AB40" s="203">
        <v>0</v>
      </c>
      <c r="AC40" s="203"/>
      <c r="AD40" s="203">
        <v>0</v>
      </c>
      <c r="AE40" s="203"/>
      <c r="AF40" s="203">
        <v>0</v>
      </c>
      <c r="AG40" s="203">
        <v>0</v>
      </c>
      <c r="AH40" s="211"/>
      <c r="AI40" s="136"/>
      <c r="AJ40" s="211"/>
      <c r="AK40" s="211"/>
      <c r="AL40" s="212"/>
      <c r="AM40" s="212"/>
      <c r="AN40" s="136"/>
      <c r="AO40" s="186"/>
      <c r="AP40" s="202"/>
      <c r="AQ40" s="186"/>
      <c r="AR40" s="186"/>
      <c r="AS40" s="186"/>
      <c r="AT40" s="186"/>
    </row>
    <row r="41" spans="1:46" s="118" customFormat="1" ht="14.25" customHeight="1" x14ac:dyDescent="0.25">
      <c r="A41" s="144"/>
      <c r="B41" s="161"/>
      <c r="C41" s="202"/>
      <c r="D41" s="141"/>
      <c r="E41" s="203"/>
      <c r="F41" s="206"/>
      <c r="G41" s="208"/>
      <c r="H41" s="186"/>
      <c r="I41" s="210"/>
      <c r="J41" s="186"/>
      <c r="K41" s="211"/>
      <c r="L41" s="211"/>
      <c r="M41" s="212"/>
      <c r="N41" s="212"/>
      <c r="O41" s="214"/>
      <c r="P41" s="203"/>
      <c r="Q41" s="203"/>
      <c r="R41" s="203"/>
      <c r="S41" s="203"/>
      <c r="T41" s="203">
        <v>0</v>
      </c>
      <c r="U41" s="203"/>
      <c r="V41" s="203">
        <v>0</v>
      </c>
      <c r="W41" s="203"/>
      <c r="X41" s="203">
        <v>0</v>
      </c>
      <c r="Y41" s="203"/>
      <c r="Z41" s="203">
        <v>0</v>
      </c>
      <c r="AA41" s="203"/>
      <c r="AB41" s="203">
        <v>0</v>
      </c>
      <c r="AC41" s="203"/>
      <c r="AD41" s="203">
        <v>0</v>
      </c>
      <c r="AE41" s="203"/>
      <c r="AF41" s="203">
        <v>0</v>
      </c>
      <c r="AG41" s="203">
        <v>0</v>
      </c>
      <c r="AH41" s="211"/>
      <c r="AI41" s="136"/>
      <c r="AJ41" s="211"/>
      <c r="AK41" s="211"/>
      <c r="AL41" s="212"/>
      <c r="AM41" s="212"/>
      <c r="AN41" s="136"/>
      <c r="AO41" s="186"/>
      <c r="AP41" s="202"/>
      <c r="AQ41" s="186"/>
      <c r="AR41" s="186"/>
      <c r="AS41" s="186"/>
      <c r="AT41" s="186"/>
    </row>
    <row r="42" spans="1:46" s="118" customFormat="1" ht="14.25" customHeight="1" x14ac:dyDescent="0.25">
      <c r="A42" s="144"/>
      <c r="B42" s="161"/>
      <c r="C42" s="202"/>
      <c r="D42" s="141"/>
      <c r="E42" s="203"/>
      <c r="F42" s="206"/>
      <c r="G42" s="208"/>
      <c r="H42" s="186"/>
      <c r="I42" s="210"/>
      <c r="J42" s="186"/>
      <c r="K42" s="211"/>
      <c r="L42" s="211"/>
      <c r="M42" s="212"/>
      <c r="N42" s="212"/>
      <c r="O42" s="214"/>
      <c r="P42" s="203"/>
      <c r="Q42" s="203"/>
      <c r="R42" s="203"/>
      <c r="S42" s="203"/>
      <c r="T42" s="203">
        <v>0</v>
      </c>
      <c r="U42" s="203"/>
      <c r="V42" s="203">
        <v>0</v>
      </c>
      <c r="W42" s="203"/>
      <c r="X42" s="203">
        <v>0</v>
      </c>
      <c r="Y42" s="203"/>
      <c r="Z42" s="203">
        <v>0</v>
      </c>
      <c r="AA42" s="203"/>
      <c r="AB42" s="203">
        <v>0</v>
      </c>
      <c r="AC42" s="203"/>
      <c r="AD42" s="203">
        <v>0</v>
      </c>
      <c r="AE42" s="203"/>
      <c r="AF42" s="203">
        <v>0</v>
      </c>
      <c r="AG42" s="203">
        <v>0</v>
      </c>
      <c r="AH42" s="211"/>
      <c r="AI42" s="136"/>
      <c r="AJ42" s="211"/>
      <c r="AK42" s="211"/>
      <c r="AL42" s="212"/>
      <c r="AM42" s="212"/>
      <c r="AN42" s="136"/>
      <c r="AO42" s="186"/>
      <c r="AP42" s="202"/>
      <c r="AQ42" s="186"/>
      <c r="AR42" s="186"/>
      <c r="AS42" s="186"/>
      <c r="AT42" s="186"/>
    </row>
    <row r="43" spans="1:46" s="118" customFormat="1" ht="147" customHeight="1" x14ac:dyDescent="0.25">
      <c r="A43" s="145"/>
      <c r="B43" s="129"/>
      <c r="C43" s="202"/>
      <c r="D43" s="142"/>
      <c r="E43" s="204"/>
      <c r="F43" s="207"/>
      <c r="G43" s="209"/>
      <c r="H43" s="186"/>
      <c r="I43" s="210"/>
      <c r="J43" s="186"/>
      <c r="K43" s="211"/>
      <c r="L43" s="211"/>
      <c r="M43" s="212"/>
      <c r="N43" s="212"/>
      <c r="O43" s="215"/>
      <c r="P43" s="204"/>
      <c r="Q43" s="204"/>
      <c r="R43" s="204"/>
      <c r="S43" s="204"/>
      <c r="T43" s="204">
        <v>0</v>
      </c>
      <c r="U43" s="204"/>
      <c r="V43" s="204">
        <v>0</v>
      </c>
      <c r="W43" s="204"/>
      <c r="X43" s="204">
        <v>0</v>
      </c>
      <c r="Y43" s="204"/>
      <c r="Z43" s="204">
        <v>0</v>
      </c>
      <c r="AA43" s="204"/>
      <c r="AB43" s="204">
        <v>0</v>
      </c>
      <c r="AC43" s="204"/>
      <c r="AD43" s="204">
        <v>0</v>
      </c>
      <c r="AE43" s="204"/>
      <c r="AF43" s="204">
        <v>0</v>
      </c>
      <c r="AG43" s="204">
        <v>0</v>
      </c>
      <c r="AH43" s="211"/>
      <c r="AI43" s="137"/>
      <c r="AJ43" s="211"/>
      <c r="AK43" s="211"/>
      <c r="AL43" s="212"/>
      <c r="AM43" s="212"/>
      <c r="AN43" s="137"/>
      <c r="AO43" s="186"/>
      <c r="AP43" s="202"/>
      <c r="AQ43" s="186"/>
      <c r="AR43" s="186"/>
      <c r="AS43" s="186"/>
      <c r="AT43" s="186"/>
    </row>
    <row r="122" spans="10:10" ht="33.75" customHeight="1" x14ac:dyDescent="0.25"/>
    <row r="123" spans="10:10" x14ac:dyDescent="0.25">
      <c r="J123" s="16"/>
    </row>
    <row r="124" spans="10:10" ht="33.75" customHeight="1" x14ac:dyDescent="0.25">
      <c r="J124" s="16"/>
    </row>
    <row r="125" spans="10:10" x14ac:dyDescent="0.25">
      <c r="J125" s="16"/>
    </row>
    <row r="126" spans="10:10" ht="33.75" customHeight="1" x14ac:dyDescent="0.25">
      <c r="J126" s="16"/>
    </row>
    <row r="127" spans="10:10" x14ac:dyDescent="0.25">
      <c r="J127" s="16"/>
    </row>
  </sheetData>
  <dataConsolidate/>
  <mergeCells count="384">
    <mergeCell ref="AN20:AN21"/>
    <mergeCell ref="AN22:AN25"/>
    <mergeCell ref="AI31:AI32"/>
    <mergeCell ref="AN31:AN32"/>
    <mergeCell ref="AI33:AI34"/>
    <mergeCell ref="AN33:AN34"/>
    <mergeCell ref="AN35:AN38"/>
    <mergeCell ref="AN39:AN43"/>
    <mergeCell ref="AM39:AM43"/>
    <mergeCell ref="AI39:AI43"/>
    <mergeCell ref="AJ35:AJ38"/>
    <mergeCell ref="AK35:AK38"/>
    <mergeCell ref="AL35:AL38"/>
    <mergeCell ref="AM35:AM38"/>
    <mergeCell ref="AJ22:AJ25"/>
    <mergeCell ref="AO39:AO43"/>
    <mergeCell ref="AP39:AP43"/>
    <mergeCell ref="AQ39:AQ43"/>
    <mergeCell ref="AR39:AR43"/>
    <mergeCell ref="AS39:AS43"/>
    <mergeCell ref="AT39:AT43"/>
    <mergeCell ref="B9:B10"/>
    <mergeCell ref="B39:B43"/>
    <mergeCell ref="B35:B38"/>
    <mergeCell ref="B20:B21"/>
    <mergeCell ref="B22:B25"/>
    <mergeCell ref="AI9:AI10"/>
    <mergeCell ref="AN9:AN10"/>
    <mergeCell ref="AC39:AC43"/>
    <mergeCell ref="AD39:AD43"/>
    <mergeCell ref="AE39:AE43"/>
    <mergeCell ref="AF39:AF43"/>
    <mergeCell ref="AG39:AG43"/>
    <mergeCell ref="AH39:AH43"/>
    <mergeCell ref="AN12:AN14"/>
    <mergeCell ref="AN16:AN19"/>
    <mergeCell ref="AJ39:AJ43"/>
    <mergeCell ref="AK39:AK43"/>
    <mergeCell ref="AL39:AL43"/>
    <mergeCell ref="T39:T43"/>
    <mergeCell ref="U39:U43"/>
    <mergeCell ref="V39:V43"/>
    <mergeCell ref="W39:W43"/>
    <mergeCell ref="X39:X43"/>
    <mergeCell ref="Y39:Y43"/>
    <mergeCell ref="Z39:Z43"/>
    <mergeCell ref="AA39:AA43"/>
    <mergeCell ref="AB39:AB43"/>
    <mergeCell ref="K39:K43"/>
    <mergeCell ref="L39:L43"/>
    <mergeCell ref="M39:M43"/>
    <mergeCell ref="N39:N43"/>
    <mergeCell ref="O39:O43"/>
    <mergeCell ref="P39:P43"/>
    <mergeCell ref="Q39:Q43"/>
    <mergeCell ref="R39:R43"/>
    <mergeCell ref="S39:S43"/>
    <mergeCell ref="A39:A43"/>
    <mergeCell ref="C39:C43"/>
    <mergeCell ref="D39:D43"/>
    <mergeCell ref="E39:E43"/>
    <mergeCell ref="F39:F43"/>
    <mergeCell ref="G39:G43"/>
    <mergeCell ref="H39:H43"/>
    <mergeCell ref="I39:I43"/>
    <mergeCell ref="J39:J43"/>
    <mergeCell ref="AP36:AP38"/>
    <mergeCell ref="AQ36:AQ38"/>
    <mergeCell ref="AR36:AR38"/>
    <mergeCell ref="AS36:AS38"/>
    <mergeCell ref="AT36:AT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O35:AO38"/>
    <mergeCell ref="D36:D38"/>
    <mergeCell ref="E36:E38"/>
    <mergeCell ref="F36:F38"/>
    <mergeCell ref="G36:G38"/>
    <mergeCell ref="AI35:AI38"/>
    <mergeCell ref="A35:A38"/>
    <mergeCell ref="C35:C38"/>
    <mergeCell ref="H35:H38"/>
    <mergeCell ref="J35:J38"/>
    <mergeCell ref="K35:K38"/>
    <mergeCell ref="L35:L38"/>
    <mergeCell ref="M35:M38"/>
    <mergeCell ref="N35:N38"/>
    <mergeCell ref="AH35:AH38"/>
    <mergeCell ref="AE10:AF10"/>
    <mergeCell ref="R9:R10"/>
    <mergeCell ref="S9:AF9"/>
    <mergeCell ref="I12:I14"/>
    <mergeCell ref="J12:J14"/>
    <mergeCell ref="K12:K14"/>
    <mergeCell ref="L12:L14"/>
    <mergeCell ref="M12:M14"/>
    <mergeCell ref="N12:N14"/>
    <mergeCell ref="O12:O14"/>
    <mergeCell ref="P12:P14"/>
    <mergeCell ref="Q12:Q14"/>
    <mergeCell ref="R12:R14"/>
    <mergeCell ref="S12:S14"/>
    <mergeCell ref="T12:T14"/>
    <mergeCell ref="AT9:AT10"/>
    <mergeCell ref="J9:J10"/>
    <mergeCell ref="K9:K10"/>
    <mergeCell ref="L9:L10"/>
    <mergeCell ref="AP9:AP10"/>
    <mergeCell ref="AR9:AR10"/>
    <mergeCell ref="S10:T10"/>
    <mergeCell ref="AG9:AG10"/>
    <mergeCell ref="AQ9:AQ10"/>
    <mergeCell ref="AO9:AO10"/>
    <mergeCell ref="AL9:AM10"/>
    <mergeCell ref="AK9:AK10"/>
    <mergeCell ref="AH9:AH10"/>
    <mergeCell ref="AS9:AS10"/>
    <mergeCell ref="M9:N10"/>
    <mergeCell ref="O9:O10"/>
    <mergeCell ref="AJ9:AJ10"/>
    <mergeCell ref="P9:P10"/>
    <mergeCell ref="U10:V10"/>
    <mergeCell ref="W10:X10"/>
    <mergeCell ref="Y10:Z10"/>
    <mergeCell ref="AA10:AB10"/>
    <mergeCell ref="Q9:Q10"/>
    <mergeCell ref="AC10:AD10"/>
    <mergeCell ref="AO8:AT8"/>
    <mergeCell ref="M1:O1"/>
    <mergeCell ref="M2:O2"/>
    <mergeCell ref="M3:O3"/>
    <mergeCell ref="D2:L3"/>
    <mergeCell ref="A1:C3"/>
    <mergeCell ref="D1:L1"/>
    <mergeCell ref="AJ8:AM8"/>
    <mergeCell ref="O8:AH8"/>
    <mergeCell ref="A4:AO7"/>
    <mergeCell ref="A9:A10"/>
    <mergeCell ref="C9:C10"/>
    <mergeCell ref="C8:E8"/>
    <mergeCell ref="K8:N8"/>
    <mergeCell ref="F8:J8"/>
    <mergeCell ref="D9:E9"/>
    <mergeCell ref="F9:F10"/>
    <mergeCell ref="G9:G10"/>
    <mergeCell ref="H9:H10"/>
    <mergeCell ref="I9:I10"/>
    <mergeCell ref="A12:A14"/>
    <mergeCell ref="C12:C14"/>
    <mergeCell ref="E12:E14"/>
    <mergeCell ref="F12:F14"/>
    <mergeCell ref="H12:H14"/>
    <mergeCell ref="AH12:AH14"/>
    <mergeCell ref="AJ12:AJ14"/>
    <mergeCell ref="Z12:Z14"/>
    <mergeCell ref="AA12:AA14"/>
    <mergeCell ref="AB12:AB14"/>
    <mergeCell ref="AC12:AC14"/>
    <mergeCell ref="AD12:AD14"/>
    <mergeCell ref="U12:U14"/>
    <mergeCell ref="V12:V14"/>
    <mergeCell ref="W12:W14"/>
    <mergeCell ref="X12:X14"/>
    <mergeCell ref="Y12:Y14"/>
    <mergeCell ref="B12:B19"/>
    <mergeCell ref="AQ12:AQ14"/>
    <mergeCell ref="AR12:AR14"/>
    <mergeCell ref="AS12:AS14"/>
    <mergeCell ref="AT12:AT14"/>
    <mergeCell ref="A16:A19"/>
    <mergeCell ref="C16:C19"/>
    <mergeCell ref="E16:E19"/>
    <mergeCell ref="F16:F19"/>
    <mergeCell ref="H16:H19"/>
    <mergeCell ref="I16:I19"/>
    <mergeCell ref="J16:J19"/>
    <mergeCell ref="K16:K19"/>
    <mergeCell ref="L16:L19"/>
    <mergeCell ref="M16:M19"/>
    <mergeCell ref="N16:N19"/>
    <mergeCell ref="O16:O19"/>
    <mergeCell ref="AK12:AK14"/>
    <mergeCell ref="AL12:AL14"/>
    <mergeCell ref="AM12:AM14"/>
    <mergeCell ref="AO12:AO14"/>
    <mergeCell ref="AP12:AP14"/>
    <mergeCell ref="AE12:AE14"/>
    <mergeCell ref="AF12:AF14"/>
    <mergeCell ref="AG12:AG14"/>
    <mergeCell ref="N20:N21"/>
    <mergeCell ref="O20:O21"/>
    <mergeCell ref="P20:P21"/>
    <mergeCell ref="AK16:AK19"/>
    <mergeCell ref="AL16:AL19"/>
    <mergeCell ref="AM16:AM19"/>
    <mergeCell ref="AO16:AO19"/>
    <mergeCell ref="AP16:AP19"/>
    <mergeCell ref="AE16:AE19"/>
    <mergeCell ref="AF16:AF19"/>
    <mergeCell ref="AG16:AG19"/>
    <mergeCell ref="AH16:AH19"/>
    <mergeCell ref="AJ16:AJ19"/>
    <mergeCell ref="Z16:Z19"/>
    <mergeCell ref="AA16:AA19"/>
    <mergeCell ref="AB16:AB19"/>
    <mergeCell ref="AC16:AC19"/>
    <mergeCell ref="AD16:AD19"/>
    <mergeCell ref="U16:U19"/>
    <mergeCell ref="V16:V19"/>
    <mergeCell ref="W16:W19"/>
    <mergeCell ref="X16:X19"/>
    <mergeCell ref="Y16:Y19"/>
    <mergeCell ref="P16:P19"/>
    <mergeCell ref="A20:A21"/>
    <mergeCell ref="D20:D21"/>
    <mergeCell ref="E20:E21"/>
    <mergeCell ref="F20:F21"/>
    <mergeCell ref="H20:H21"/>
    <mergeCell ref="J20:J21"/>
    <mergeCell ref="K20:K21"/>
    <mergeCell ref="L20:L21"/>
    <mergeCell ref="M20:M21"/>
    <mergeCell ref="Q20:Q21"/>
    <mergeCell ref="R20:R21"/>
    <mergeCell ref="S20:S21"/>
    <mergeCell ref="T20:T21"/>
    <mergeCell ref="U20:U21"/>
    <mergeCell ref="AQ16:AQ19"/>
    <mergeCell ref="AR16:AR19"/>
    <mergeCell ref="AS16:AS19"/>
    <mergeCell ref="AT16:AT19"/>
    <mergeCell ref="Q16:Q19"/>
    <mergeCell ref="R16:R19"/>
    <mergeCell ref="S16:S19"/>
    <mergeCell ref="T16:T19"/>
    <mergeCell ref="AH20:AH21"/>
    <mergeCell ref="AJ20:AJ21"/>
    <mergeCell ref="AK20:AK21"/>
    <mergeCell ref="AA20:AA21"/>
    <mergeCell ref="AB20:AB21"/>
    <mergeCell ref="AC20:AC21"/>
    <mergeCell ref="AD20:AD21"/>
    <mergeCell ref="AE20:AE21"/>
    <mergeCell ref="V20:V21"/>
    <mergeCell ref="W20:W21"/>
    <mergeCell ref="X20:X21"/>
    <mergeCell ref="Y20:Y21"/>
    <mergeCell ref="Z20:Z21"/>
    <mergeCell ref="U22:U25"/>
    <mergeCell ref="AR20:AR21"/>
    <mergeCell ref="AS20:AS21"/>
    <mergeCell ref="AT20:AT21"/>
    <mergeCell ref="A22:A25"/>
    <mergeCell ref="C22:C25"/>
    <mergeCell ref="E22:E25"/>
    <mergeCell ref="F22:F25"/>
    <mergeCell ref="H22:H25"/>
    <mergeCell ref="I22:I25"/>
    <mergeCell ref="J22:J25"/>
    <mergeCell ref="K22:K25"/>
    <mergeCell ref="L22:L25"/>
    <mergeCell ref="M22:M25"/>
    <mergeCell ref="N22:N25"/>
    <mergeCell ref="O22:O25"/>
    <mergeCell ref="P22:P25"/>
    <mergeCell ref="AL20:AL21"/>
    <mergeCell ref="AM20:AM21"/>
    <mergeCell ref="AO20:AO21"/>
    <mergeCell ref="AP20:AP21"/>
    <mergeCell ref="AQ20:AQ21"/>
    <mergeCell ref="AF20:AF21"/>
    <mergeCell ref="AG20:AG21"/>
    <mergeCell ref="AS22:AS25"/>
    <mergeCell ref="AT22:AT25"/>
    <mergeCell ref="A31:A32"/>
    <mergeCell ref="C31:C32"/>
    <mergeCell ref="E31:E32"/>
    <mergeCell ref="F31:F32"/>
    <mergeCell ref="H31:H32"/>
    <mergeCell ref="I31:I32"/>
    <mergeCell ref="J31:J32"/>
    <mergeCell ref="K31:K32"/>
    <mergeCell ref="L31:L32"/>
    <mergeCell ref="M31:M32"/>
    <mergeCell ref="N31:N32"/>
    <mergeCell ref="AH31:AH32"/>
    <mergeCell ref="AJ31:AJ32"/>
    <mergeCell ref="AL22:AL25"/>
    <mergeCell ref="AM22:AM25"/>
    <mergeCell ref="AO22:AO25"/>
    <mergeCell ref="AP22:AP25"/>
    <mergeCell ref="AQ22:AQ25"/>
    <mergeCell ref="AF22:AF25"/>
    <mergeCell ref="AG22:AG25"/>
    <mergeCell ref="O33:O34"/>
    <mergeCell ref="P33:P34"/>
    <mergeCell ref="AK31:AK32"/>
    <mergeCell ref="AL31:AL32"/>
    <mergeCell ref="AM31:AM32"/>
    <mergeCell ref="AO31:AO32"/>
    <mergeCell ref="Q22:Q25"/>
    <mergeCell ref="R22:R25"/>
    <mergeCell ref="S22:S25"/>
    <mergeCell ref="T22:T25"/>
    <mergeCell ref="Q33:Q34"/>
    <mergeCell ref="R33:R34"/>
    <mergeCell ref="S33:S34"/>
    <mergeCell ref="T33:T34"/>
    <mergeCell ref="U33:U34"/>
    <mergeCell ref="AK33:AK34"/>
    <mergeCell ref="A33:A34"/>
    <mergeCell ref="C33:C34"/>
    <mergeCell ref="F33:F34"/>
    <mergeCell ref="H33:H34"/>
    <mergeCell ref="I33:I34"/>
    <mergeCell ref="J33:J34"/>
    <mergeCell ref="K33:K34"/>
    <mergeCell ref="L33:L34"/>
    <mergeCell ref="M33:M34"/>
    <mergeCell ref="AT31:AT32"/>
    <mergeCell ref="AA33:AA34"/>
    <mergeCell ref="AB33:AB34"/>
    <mergeCell ref="AC33:AC34"/>
    <mergeCell ref="AD33:AD34"/>
    <mergeCell ref="AE33:AE34"/>
    <mergeCell ref="V33:V34"/>
    <mergeCell ref="W33:W34"/>
    <mergeCell ref="X33:X34"/>
    <mergeCell ref="Y33:Y34"/>
    <mergeCell ref="Z33:Z34"/>
    <mergeCell ref="AR33:AR34"/>
    <mergeCell ref="AS33:AS34"/>
    <mergeCell ref="AT33:AT34"/>
    <mergeCell ref="AL33:AL34"/>
    <mergeCell ref="AM33:AM34"/>
    <mergeCell ref="AO33:AO34"/>
    <mergeCell ref="AP33:AP34"/>
    <mergeCell ref="AQ33:AQ34"/>
    <mergeCell ref="AF33:AF34"/>
    <mergeCell ref="AG33:AG34"/>
    <mergeCell ref="AH33:AH34"/>
    <mergeCell ref="AJ33:AJ34"/>
    <mergeCell ref="AP31:AP32"/>
    <mergeCell ref="B26:B27"/>
    <mergeCell ref="B29:B30"/>
    <mergeCell ref="B31:B34"/>
    <mergeCell ref="AI12:AI14"/>
    <mergeCell ref="AI16:AI19"/>
    <mergeCell ref="AI20:AI21"/>
    <mergeCell ref="AI22:AI25"/>
    <mergeCell ref="AS31:AS32"/>
    <mergeCell ref="AR22:AR25"/>
    <mergeCell ref="AK22:AK25"/>
    <mergeCell ref="AA22:AA25"/>
    <mergeCell ref="AB22:AB25"/>
    <mergeCell ref="AC22:AC25"/>
    <mergeCell ref="AD22:AD25"/>
    <mergeCell ref="AE22:AE25"/>
    <mergeCell ref="V22:V25"/>
    <mergeCell ref="W22:W25"/>
    <mergeCell ref="X22:X25"/>
    <mergeCell ref="Y22:Y25"/>
    <mergeCell ref="Z22:Z25"/>
    <mergeCell ref="AQ31:AQ32"/>
    <mergeCell ref="AR31:AR32"/>
    <mergeCell ref="AH22:AH25"/>
    <mergeCell ref="N33:N34"/>
  </mergeCells>
  <conditionalFormatting sqref="N11 N35">
    <cfRule type="expression" dxfId="129" priority="147">
      <formula>N11="EXTREMO"</formula>
    </cfRule>
    <cfRule type="expression" dxfId="128" priority="148">
      <formula>N11="MODERADO"</formula>
    </cfRule>
    <cfRule type="expression" dxfId="127" priority="149">
      <formula>N11="ALTO"</formula>
    </cfRule>
    <cfRule type="expression" dxfId="126" priority="150">
      <formula>N11="BAJO"</formula>
    </cfRule>
  </conditionalFormatting>
  <conditionalFormatting sqref="N11 N35">
    <cfRule type="expression" dxfId="125" priority="146">
      <formula>N11=" "</formula>
    </cfRule>
  </conditionalFormatting>
  <conditionalFormatting sqref="AM11:AN11">
    <cfRule type="expression" dxfId="124" priority="127">
      <formula>AM11="EXTREMO"</formula>
    </cfRule>
    <cfRule type="expression" dxfId="123" priority="128">
      <formula>AM11="MODERADO"</formula>
    </cfRule>
    <cfRule type="expression" dxfId="122" priority="129">
      <formula>AM11="ALTO"</formula>
    </cfRule>
    <cfRule type="expression" dxfId="121" priority="130">
      <formula>AM11="BAJO"</formula>
    </cfRule>
  </conditionalFormatting>
  <conditionalFormatting sqref="AM11:AN11">
    <cfRule type="expression" dxfId="120" priority="126">
      <formula>AM11=" "</formula>
    </cfRule>
  </conditionalFormatting>
  <conditionalFormatting sqref="N12 N15:N16">
    <cfRule type="expression" dxfId="119" priority="122">
      <formula>N12="EXTREMO"</formula>
    </cfRule>
    <cfRule type="expression" dxfId="118" priority="123">
      <formula>N12="MODERADO"</formula>
    </cfRule>
    <cfRule type="expression" dxfId="117" priority="124">
      <formula>N12="ALTO"</formula>
    </cfRule>
    <cfRule type="expression" dxfId="116" priority="125">
      <formula>N12="BAJO"</formula>
    </cfRule>
  </conditionalFormatting>
  <conditionalFormatting sqref="N12 N15:N16">
    <cfRule type="expression" dxfId="115" priority="121">
      <formula>N12=" "</formula>
    </cfRule>
  </conditionalFormatting>
  <conditionalFormatting sqref="AM12:AN12 AM15:AM16">
    <cfRule type="expression" dxfId="114" priority="117">
      <formula>AM12="EXTREMO"</formula>
    </cfRule>
    <cfRule type="expression" dxfId="113" priority="118">
      <formula>AM12="MODERADO"</formula>
    </cfRule>
    <cfRule type="expression" dxfId="112" priority="119">
      <formula>AM12="ALTO"</formula>
    </cfRule>
    <cfRule type="expression" dxfId="111" priority="120">
      <formula>AM12="BAJO"</formula>
    </cfRule>
  </conditionalFormatting>
  <conditionalFormatting sqref="AM12:AN12 AM15:AM16">
    <cfRule type="expression" dxfId="110" priority="116">
      <formula>AM12=" "</formula>
    </cfRule>
  </conditionalFormatting>
  <conditionalFormatting sqref="N20">
    <cfRule type="expression" dxfId="109" priority="112">
      <formula>N20="EXTREMO"</formula>
    </cfRule>
    <cfRule type="expression" dxfId="108" priority="113">
      <formula>N20="MODERADO"</formula>
    </cfRule>
    <cfRule type="expression" dxfId="107" priority="114">
      <formula>N20="ALTO"</formula>
    </cfRule>
    <cfRule type="expression" dxfId="106" priority="115">
      <formula>N20="BAJO"</formula>
    </cfRule>
  </conditionalFormatting>
  <conditionalFormatting sqref="N20">
    <cfRule type="expression" dxfId="105" priority="111">
      <formula>N20=" "</formula>
    </cfRule>
  </conditionalFormatting>
  <conditionalFormatting sqref="AM20:AN20">
    <cfRule type="expression" dxfId="104" priority="107">
      <formula>AM20="EXTREMO"</formula>
    </cfRule>
    <cfRule type="expression" dxfId="103" priority="108">
      <formula>AM20="MODERADO"</formula>
    </cfRule>
    <cfRule type="expression" dxfId="102" priority="109">
      <formula>AM20="ALTO"</formula>
    </cfRule>
    <cfRule type="expression" dxfId="101" priority="110">
      <formula>AM20="BAJO"</formula>
    </cfRule>
  </conditionalFormatting>
  <conditionalFormatting sqref="AM20:AN20">
    <cfRule type="expression" dxfId="100" priority="106">
      <formula>AM20=" "</formula>
    </cfRule>
  </conditionalFormatting>
  <conditionalFormatting sqref="N22">
    <cfRule type="expression" dxfId="99" priority="102">
      <formula>N22="EXTREMO"</formula>
    </cfRule>
    <cfRule type="expression" dxfId="98" priority="103">
      <formula>N22="MODERADO"</formula>
    </cfRule>
    <cfRule type="expression" dxfId="97" priority="104">
      <formula>N22="ALTO"</formula>
    </cfRule>
    <cfRule type="expression" dxfId="96" priority="105">
      <formula>N22="BAJO"</formula>
    </cfRule>
  </conditionalFormatting>
  <conditionalFormatting sqref="N22">
    <cfRule type="expression" dxfId="95" priority="101">
      <formula>N22=" "</formula>
    </cfRule>
  </conditionalFormatting>
  <conditionalFormatting sqref="AM22">
    <cfRule type="expression" dxfId="94" priority="97">
      <formula>AM22="EXTREMO"</formula>
    </cfRule>
    <cfRule type="expression" dxfId="93" priority="98">
      <formula>AM22="MODERADO"</formula>
    </cfRule>
    <cfRule type="expression" dxfId="92" priority="99">
      <formula>AM22="ALTO"</formula>
    </cfRule>
    <cfRule type="expression" dxfId="91" priority="100">
      <formula>AM22="BAJO"</formula>
    </cfRule>
  </conditionalFormatting>
  <conditionalFormatting sqref="AM22">
    <cfRule type="expression" dxfId="90" priority="96">
      <formula>AM22=" "</formula>
    </cfRule>
  </conditionalFormatting>
  <conditionalFormatting sqref="N26:N27">
    <cfRule type="expression" dxfId="89" priority="92">
      <formula>N26="EXTREMO"</formula>
    </cfRule>
    <cfRule type="expression" dxfId="88" priority="93">
      <formula>N26="MODERADO"</formula>
    </cfRule>
    <cfRule type="expression" dxfId="87" priority="94">
      <formula>N26="ALTO"</formula>
    </cfRule>
    <cfRule type="expression" dxfId="86" priority="95">
      <formula>N26="BAJO"</formula>
    </cfRule>
  </conditionalFormatting>
  <conditionalFormatting sqref="N26:N27">
    <cfRule type="expression" dxfId="85" priority="91">
      <formula>N26=" "</formula>
    </cfRule>
  </conditionalFormatting>
  <conditionalFormatting sqref="AM26:AN27">
    <cfRule type="expression" dxfId="84" priority="87">
      <formula>AM26="EXTREMO"</formula>
    </cfRule>
    <cfRule type="expression" dxfId="83" priority="88">
      <formula>AM26="MODERADO"</formula>
    </cfRule>
    <cfRule type="expression" dxfId="82" priority="89">
      <formula>AM26="ALTO"</formula>
    </cfRule>
    <cfRule type="expression" dxfId="81" priority="90">
      <formula>AM26="BAJO"</formula>
    </cfRule>
  </conditionalFormatting>
  <conditionalFormatting sqref="AM26:AN27">
    <cfRule type="expression" dxfId="80" priority="86">
      <formula>AM26=" "</formula>
    </cfRule>
  </conditionalFormatting>
  <conditionalFormatting sqref="N28">
    <cfRule type="expression" dxfId="79" priority="82">
      <formula>N28="EXTREMO"</formula>
    </cfRule>
    <cfRule type="expression" dxfId="78" priority="83">
      <formula>N28="MODERADO"</formula>
    </cfRule>
    <cfRule type="expression" dxfId="77" priority="84">
      <formula>N28="ALTO"</formula>
    </cfRule>
    <cfRule type="expression" dxfId="76" priority="85">
      <formula>N28="BAJO"</formula>
    </cfRule>
  </conditionalFormatting>
  <conditionalFormatting sqref="N28">
    <cfRule type="expression" dxfId="75" priority="81">
      <formula>N28=" "</formula>
    </cfRule>
  </conditionalFormatting>
  <conditionalFormatting sqref="AM28">
    <cfRule type="expression" dxfId="74" priority="77">
      <formula>AM28="EXTREMO"</formula>
    </cfRule>
    <cfRule type="expression" dxfId="73" priority="78">
      <formula>AM28="MODERADO"</formula>
    </cfRule>
    <cfRule type="expression" dxfId="72" priority="79">
      <formula>AM28="ALTO"</formula>
    </cfRule>
    <cfRule type="expression" dxfId="71" priority="80">
      <formula>AM28="BAJO"</formula>
    </cfRule>
  </conditionalFormatting>
  <conditionalFormatting sqref="AM28">
    <cfRule type="expression" dxfId="70" priority="76">
      <formula>AM28=" "</formula>
    </cfRule>
  </conditionalFormatting>
  <conditionalFormatting sqref="N29:N30">
    <cfRule type="expression" dxfId="69" priority="72">
      <formula>N29="EXTREMO"</formula>
    </cfRule>
    <cfRule type="expression" dxfId="68" priority="73">
      <formula>N29="MODERADO"</formula>
    </cfRule>
    <cfRule type="expression" dxfId="67" priority="74">
      <formula>N29="ALTO"</formula>
    </cfRule>
    <cfRule type="expression" dxfId="66" priority="75">
      <formula>N29="BAJO"</formula>
    </cfRule>
  </conditionalFormatting>
  <conditionalFormatting sqref="N29:N30">
    <cfRule type="expression" dxfId="65" priority="71">
      <formula>N29=" "</formula>
    </cfRule>
  </conditionalFormatting>
  <conditionalFormatting sqref="AM29:AN30">
    <cfRule type="expression" dxfId="64" priority="67">
      <formula>AM29="EXTREMO"</formula>
    </cfRule>
    <cfRule type="expression" dxfId="63" priority="68">
      <formula>AM29="MODERADO"</formula>
    </cfRule>
    <cfRule type="expression" dxfId="62" priority="69">
      <formula>AM29="ALTO"</formula>
    </cfRule>
    <cfRule type="expression" dxfId="61" priority="70">
      <formula>AM29="BAJO"</formula>
    </cfRule>
  </conditionalFormatting>
  <conditionalFormatting sqref="AM29:AN30">
    <cfRule type="expression" dxfId="60" priority="66">
      <formula>AM29=" "</formula>
    </cfRule>
  </conditionalFormatting>
  <conditionalFormatting sqref="N31 N33">
    <cfRule type="expression" dxfId="59" priority="62">
      <formula>N31="EXTREMO"</formula>
    </cfRule>
    <cfRule type="expression" dxfId="58" priority="63">
      <formula>N31="MODERADO"</formula>
    </cfRule>
    <cfRule type="expression" dxfId="57" priority="64">
      <formula>N31="ALTO"</formula>
    </cfRule>
    <cfRule type="expression" dxfId="56" priority="65">
      <formula>N31="BAJO"</formula>
    </cfRule>
  </conditionalFormatting>
  <conditionalFormatting sqref="N31 N33">
    <cfRule type="expression" dxfId="55" priority="61">
      <formula>N31=" "</formula>
    </cfRule>
  </conditionalFormatting>
  <conditionalFormatting sqref="AM31 AM33">
    <cfRule type="expression" dxfId="54" priority="57">
      <formula>AM31="EXTREMO"</formula>
    </cfRule>
    <cfRule type="expression" dxfId="53" priority="58">
      <formula>AM31="MODERADO"</formula>
    </cfRule>
    <cfRule type="expression" dxfId="52" priority="59">
      <formula>AM31="ALTO"</formula>
    </cfRule>
    <cfRule type="expression" dxfId="51" priority="60">
      <formula>AM31="BAJO"</formula>
    </cfRule>
  </conditionalFormatting>
  <conditionalFormatting sqref="AM31 AM33">
    <cfRule type="expression" dxfId="50" priority="56">
      <formula>AM31=" "</formula>
    </cfRule>
  </conditionalFormatting>
  <conditionalFormatting sqref="AM35">
    <cfRule type="expression" dxfId="49" priority="52">
      <formula>AM35="EXTREMO"</formula>
    </cfRule>
    <cfRule type="expression" dxfId="48" priority="53">
      <formula>AM35="MODERADO"</formula>
    </cfRule>
    <cfRule type="expression" dxfId="47" priority="54">
      <formula>AM35="ALTO"</formula>
    </cfRule>
    <cfRule type="expression" dxfId="46" priority="55">
      <formula>AM35="BAJO"</formula>
    </cfRule>
  </conditionalFormatting>
  <conditionalFormatting sqref="AM35">
    <cfRule type="expression" dxfId="45" priority="51">
      <formula>AM35=" "</formula>
    </cfRule>
  </conditionalFormatting>
  <conditionalFormatting sqref="N39:N41">
    <cfRule type="expression" dxfId="44" priority="42">
      <formula>N39="EXTREMO"</formula>
    </cfRule>
    <cfRule type="expression" dxfId="43" priority="43">
      <formula>N39="MODERADO"</formula>
    </cfRule>
    <cfRule type="expression" dxfId="42" priority="44">
      <formula>N39="ALTO"</formula>
    </cfRule>
    <cfRule type="expression" dxfId="41" priority="45">
      <formula>N39="BAJO"</formula>
    </cfRule>
  </conditionalFormatting>
  <conditionalFormatting sqref="N39:N41">
    <cfRule type="expression" dxfId="40" priority="41">
      <formula>N39=" "</formula>
    </cfRule>
  </conditionalFormatting>
  <conditionalFormatting sqref="AM39:AN39 AM40:AM41">
    <cfRule type="expression" dxfId="39" priority="37">
      <formula>AM39="EXTREMO"</formula>
    </cfRule>
    <cfRule type="expression" dxfId="38" priority="38">
      <formula>AM39="MODERADO"</formula>
    </cfRule>
    <cfRule type="expression" dxfId="37" priority="39">
      <formula>AM39="ALTO"</formula>
    </cfRule>
    <cfRule type="expression" dxfId="36" priority="40">
      <formula>AM39="BAJO"</formula>
    </cfRule>
  </conditionalFormatting>
  <conditionalFormatting sqref="AM39:AN39 AM40:AM41">
    <cfRule type="expression" dxfId="35" priority="36">
      <formula>AM39=" "</formula>
    </cfRule>
  </conditionalFormatting>
  <conditionalFormatting sqref="AN15">
    <cfRule type="expression" dxfId="34" priority="32">
      <formula>AN15="EXTREMO"</formula>
    </cfRule>
    <cfRule type="expression" dxfId="33" priority="33">
      <formula>AN15="MODERADO"</formula>
    </cfRule>
    <cfRule type="expression" dxfId="32" priority="34">
      <formula>AN15="ALTO"</formula>
    </cfRule>
    <cfRule type="expression" dxfId="31" priority="35">
      <formula>AN15="BAJO"</formula>
    </cfRule>
  </conditionalFormatting>
  <conditionalFormatting sqref="AN15">
    <cfRule type="expression" dxfId="30" priority="31">
      <formula>AN15=" "</formula>
    </cfRule>
  </conditionalFormatting>
  <conditionalFormatting sqref="AN16">
    <cfRule type="expression" dxfId="29" priority="27">
      <formula>AN16="EXTREMO"</formula>
    </cfRule>
    <cfRule type="expression" dxfId="28" priority="28">
      <formula>AN16="MODERADO"</formula>
    </cfRule>
    <cfRule type="expression" dxfId="27" priority="29">
      <formula>AN16="ALTO"</formula>
    </cfRule>
    <cfRule type="expression" dxfId="26" priority="30">
      <formula>AN16="BAJO"</formula>
    </cfRule>
  </conditionalFormatting>
  <conditionalFormatting sqref="AN16">
    <cfRule type="expression" dxfId="25" priority="26">
      <formula>AN16=" "</formula>
    </cfRule>
  </conditionalFormatting>
  <conditionalFormatting sqref="AN22">
    <cfRule type="expression" dxfId="24" priority="22">
      <formula>AN22="EXTREMO"</formula>
    </cfRule>
    <cfRule type="expression" dxfId="23" priority="23">
      <formula>AN22="MODERADO"</formula>
    </cfRule>
    <cfRule type="expression" dxfId="22" priority="24">
      <formula>AN22="ALTO"</formula>
    </cfRule>
    <cfRule type="expression" dxfId="21" priority="25">
      <formula>AN22="BAJO"</formula>
    </cfRule>
  </conditionalFormatting>
  <conditionalFormatting sqref="AN22">
    <cfRule type="expression" dxfId="20" priority="21">
      <formula>AN22=" "</formula>
    </cfRule>
  </conditionalFormatting>
  <conditionalFormatting sqref="AN28">
    <cfRule type="expression" dxfId="19" priority="17">
      <formula>AN28="EXTREMO"</formula>
    </cfRule>
    <cfRule type="expression" dxfId="18" priority="18">
      <formula>AN28="MODERADO"</formula>
    </cfRule>
    <cfRule type="expression" dxfId="17" priority="19">
      <formula>AN28="ALTO"</formula>
    </cfRule>
    <cfRule type="expression" dxfId="16" priority="20">
      <formula>AN28="BAJO"</formula>
    </cfRule>
  </conditionalFormatting>
  <conditionalFormatting sqref="AN28">
    <cfRule type="expression" dxfId="15" priority="16">
      <formula>AN28=" "</formula>
    </cfRule>
  </conditionalFormatting>
  <conditionalFormatting sqref="AN31">
    <cfRule type="expression" dxfId="14" priority="12">
      <formula>AN31="EXTREMO"</formula>
    </cfRule>
    <cfRule type="expression" dxfId="13" priority="13">
      <formula>AN31="MODERADO"</formula>
    </cfRule>
    <cfRule type="expression" dxfId="12" priority="14">
      <formula>AN31="ALTO"</formula>
    </cfRule>
    <cfRule type="expression" dxfId="11" priority="15">
      <formula>AN31="BAJO"</formula>
    </cfRule>
  </conditionalFormatting>
  <conditionalFormatting sqref="AN31">
    <cfRule type="expression" dxfId="10" priority="11">
      <formula>AN31=" "</formula>
    </cfRule>
  </conditionalFormatting>
  <conditionalFormatting sqref="AN33">
    <cfRule type="expression" dxfId="9" priority="7">
      <formula>AN33="EXTREMO"</formula>
    </cfRule>
    <cfRule type="expression" dxfId="8" priority="8">
      <formula>AN33="MODERADO"</formula>
    </cfRule>
    <cfRule type="expression" dxfId="7" priority="9">
      <formula>AN33="ALTO"</formula>
    </cfRule>
    <cfRule type="expression" dxfId="6" priority="10">
      <formula>AN33="BAJO"</formula>
    </cfRule>
  </conditionalFormatting>
  <conditionalFormatting sqref="AN33">
    <cfRule type="expression" dxfId="5" priority="6">
      <formula>AN33=" "</formula>
    </cfRule>
  </conditionalFormatting>
  <conditionalFormatting sqref="AN35">
    <cfRule type="expression" dxfId="4" priority="2">
      <formula>AN35="EXTREMO"</formula>
    </cfRule>
    <cfRule type="expression" dxfId="3" priority="3">
      <formula>AN35="MODERADO"</formula>
    </cfRule>
    <cfRule type="expression" dxfId="2" priority="4">
      <formula>AN35="ALTO"</formula>
    </cfRule>
    <cfRule type="expression" dxfId="1" priority="5">
      <formula>AN35="BAJO"</formula>
    </cfRule>
  </conditionalFormatting>
  <conditionalFormatting sqref="AN35">
    <cfRule type="expression" dxfId="0" priority="1">
      <formula>AN35=" "</formula>
    </cfRule>
  </conditionalFormatting>
  <dataValidations xWindow="90" yWindow="559" count="3">
    <dataValidation allowBlank="1" showInputMessage="1" showErrorMessage="1" prompt="Se incluyó a partír de la Guía de riesgos borrador del DAFP" sqref="S10"/>
    <dataValidation allowBlank="1" showInputMessage="1" showErrorMessage="1" prompt="Estructura:_x000a__x000a_Responsable +_x000a_Periodicidad +_x000a_Proposito +_x000a_Cómo se realiza +_x000a_Qué pasa con las desviaciones +_x000a_Evidencia" sqref="O9:O10"/>
    <dataValidation allowBlank="1" showInputMessage="1" showErrorMessage="1" prompt="En la Guía del DAFP añaden campo de descripción del riesgo. Es la suma de Riesgo + Causas + Consecuencias: Complejiza el asunto" sqref="F8"/>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xWindow="90" yWindow="559" count="40">
        <x14:dataValidation type="list" allowBlank="1" showInputMessage="1" showErrorMessage="1">
          <x14:formula1>
            <xm:f>Listas!$D$2:$D$11</xm:f>
          </x14:formula1>
          <xm:sqref>J11</xm:sqref>
        </x14:dataValidation>
        <x14:dataValidation type="list" allowBlank="1" showInputMessage="1" showErrorMessage="1">
          <x14:formula1>
            <xm:f>Listas!$B$21:$B$26</xm:f>
          </x14:formula1>
          <xm:sqref>D11</xm:sqref>
        </x14:dataValidation>
        <x14:dataValidation type="list" allowBlank="1" showInputMessage="1" showErrorMessage="1">
          <x14:formula1>
            <xm:f>Listas!$A$21:$A$26</xm:f>
          </x14:formula1>
          <xm:sqref>E11</xm:sqref>
        </x14:dataValidation>
        <x14:dataValidation type="list" allowBlank="1" showInputMessage="1" showErrorMessage="1">
          <x14:formula1>
            <xm:f>Listas!$B$43:$B$45</xm:f>
          </x14:formula1>
          <xm:sqref>AE11</xm:sqref>
        </x14:dataValidation>
        <x14:dataValidation type="list" allowBlank="1" showInputMessage="1" showErrorMessage="1">
          <x14:formula1>
            <xm:f>Listas!$B$41:$B$42</xm:f>
          </x14:formula1>
          <xm:sqref>AC11</xm:sqref>
        </x14:dataValidation>
        <x14:dataValidation type="list" allowBlank="1" showInputMessage="1" showErrorMessage="1">
          <x14:formula1>
            <xm:f>Listas!$B$39:$B$40</xm:f>
          </x14:formula1>
          <xm:sqref>AA11</xm:sqref>
        </x14:dataValidation>
        <x14:dataValidation type="list" allowBlank="1" showInputMessage="1" showErrorMessage="1">
          <x14:formula1>
            <xm:f>Listas!$B$36:$B$38</xm:f>
          </x14:formula1>
          <xm:sqref>Y11</xm:sqref>
        </x14:dataValidation>
        <x14:dataValidation type="list" allowBlank="1" showInputMessage="1" showErrorMessage="1">
          <x14:formula1>
            <xm:f>Listas!$B$34:$B$35</xm:f>
          </x14:formula1>
          <xm:sqref>W11</xm:sqref>
        </x14:dataValidation>
        <x14:dataValidation type="list" allowBlank="1" showInputMessage="1" showErrorMessage="1">
          <x14:formula1>
            <xm:f>Listas!$B$32:$B$33</xm:f>
          </x14:formula1>
          <xm:sqref>U11</xm:sqref>
        </x14:dataValidation>
        <x14:dataValidation type="list" allowBlank="1" showInputMessage="1" showErrorMessage="1">
          <x14:formula1>
            <xm:f>Listas!$B$30:$B$31</xm:f>
          </x14:formula1>
          <xm:sqref>S11</xm:sqref>
        </x14:dataValidation>
        <x14:dataValidation type="list" allowBlank="1" showInputMessage="1" showErrorMessage="1">
          <x14:formula1>
            <xm:f>Listas!$F$9:$F$10</xm:f>
          </x14:formula1>
          <xm:sqref>P11</xm:sqref>
        </x14:dataValidation>
        <x14:dataValidation type="list" allowBlank="1" showInputMessage="1" showErrorMessage="1" prompt="1 - Rara vez_x000a_2 - Improbable_x000a_3 - Posible_x000a_4 - Probable_x000a_5 - Casi Seguro">
          <x14:formula1>
            <xm:f>Listas!$F$2:$F$6</xm:f>
          </x14:formula1>
          <xm:sqref>K11 AJ11</xm:sqref>
        </x14:dataValidation>
        <x14:dataValidation type="list" allowBlank="1" showInputMessage="1" showErrorMessage="1" prompt="1 - Insignificante_x000a_2 - Menor_x000a_3 - Moderado_x000a_4 - Mayor_x000a_5 - Catastrófico">
          <x14:formula1>
            <xm:f>Listas!$G$2:$G$6</xm:f>
          </x14:formula1>
          <xm:sqref>L11 AK11</xm:sqref>
        </x14:dataValidation>
        <x14:dataValidation type="list" allowBlank="1" showInputMessage="1" showErrorMessage="1">
          <x14:formula1>
            <xm:f>Listas!$B$46:$D$46</xm:f>
          </x14:formula1>
          <xm:sqref>Q11:R11</xm:sqref>
        </x14:dataValidation>
        <x14:dataValidation type="list" allowBlank="1" showInputMessage="1" showErrorMessage="1">
          <x14:formula1>
            <xm:f>Listas!$D$20:$D$24</xm:f>
          </x14:formula1>
          <xm:sqref>AO11</xm:sqref>
        </x14:dataValidation>
        <x14:dataValidation type="list" allowBlank="1" showInputMessage="1" showErrorMessage="1">
          <x14:formula1>
            <xm:f>[1]Listas!#REF!</xm:f>
          </x14:formula1>
          <xm:sqref>D12:D19 J12 J15:J16 E15:E16 E12 AE12 AE15:AE16 AC12 AC15:AC16 AA12 AA15:AA16 Y12 Y15:Y16 W12 W15:W16 U12 U15:U16 P12:S12 P15:S16 AO12 AO15:AO16</xm:sqref>
        </x14:dataValidation>
        <x14:dataValidation type="list" allowBlank="1" showInputMessage="1" showErrorMessage="1" prompt="1 - Insignificante_x000a_2 - Menor_x000a_3 - Moderado_x000a_4 - Mayor_x000a_5 - Catastrófico">
          <x14:formula1>
            <xm:f>[1]Listas!#REF!</xm:f>
          </x14:formula1>
          <xm:sqref>L12 AK12 L15:L16 AK15:AK16</xm:sqref>
        </x14:dataValidation>
        <x14:dataValidation type="list" allowBlank="1" showInputMessage="1" showErrorMessage="1" prompt="1 - Rara vez_x000a_2 - Improbable_x000a_3 - Posible_x000a_4 - Probable_x000a_5 - Casi Seguro">
          <x14:formula1>
            <xm:f>[1]Listas!#REF!</xm:f>
          </x14:formula1>
          <xm:sqref>K12 AJ12 K15:K16 AJ15:AJ16</xm:sqref>
        </x14:dataValidation>
        <x14:dataValidation type="list" allowBlank="1" showInputMessage="1" showErrorMessage="1">
          <x14:formula1>
            <xm:f>[2]Listas!#REF!</xm:f>
          </x14:formula1>
          <xm:sqref>AO20 J20 D20:E20 AE20 AC20 AA20 Y20 W20 U20 P20:S20</xm:sqref>
        </x14:dataValidation>
        <x14:dataValidation type="list" allowBlank="1" showInputMessage="1" showErrorMessage="1" prompt="1 - Insignificante_x000a_2 - Menor_x000a_3 - Moderado_x000a_4 - Mayor_x000a_5 - Catastrófico">
          <x14:formula1>
            <xm:f>[2]Listas!#REF!</xm:f>
          </x14:formula1>
          <xm:sqref>L20 AK20</xm:sqref>
        </x14:dataValidation>
        <x14:dataValidation type="list" allowBlank="1" showInputMessage="1" showErrorMessage="1" prompt="1 - Rara vez_x000a_2 - Improbable_x000a_3 - Posible_x000a_4 - Probable_x000a_5 - Casi Seguro">
          <x14:formula1>
            <xm:f>[2]Listas!#REF!</xm:f>
          </x14:formula1>
          <xm:sqref>K20 AJ20</xm:sqref>
        </x14:dataValidation>
        <x14:dataValidation type="list" allowBlank="1" showInputMessage="1" showErrorMessage="1">
          <x14:formula1>
            <xm:f>[3]Listas!#REF!</xm:f>
          </x14:formula1>
          <xm:sqref>AO22 J22 D22:D25 E22 AE22 AC22 AA22 Y22 W22 U22 P22:S22</xm:sqref>
        </x14:dataValidation>
        <x14:dataValidation type="list" allowBlank="1" showInputMessage="1" showErrorMessage="1" prompt="1 - Insignificante_x000a_2 - Menor_x000a_3 - Moderado_x000a_4 - Mayor_x000a_5 - Catastrófico">
          <x14:formula1>
            <xm:f>[3]Listas!#REF!</xm:f>
          </x14:formula1>
          <xm:sqref>L22 AK22</xm:sqref>
        </x14:dataValidation>
        <x14:dataValidation type="list" allowBlank="1" showInputMessage="1" showErrorMessage="1" prompt="1 - Rara vez_x000a_2 - Improbable_x000a_3 - Posible_x000a_4 - Probable_x000a_5 - Casi Seguro">
          <x14:formula1>
            <xm:f>[3]Listas!#REF!</xm:f>
          </x14:formula1>
          <xm:sqref>K22 AJ22</xm:sqref>
        </x14:dataValidation>
        <x14:dataValidation type="list" allowBlank="1" showInputMessage="1" showErrorMessage="1">
          <x14:formula1>
            <xm:f>[4]Listas!#REF!</xm:f>
          </x14:formula1>
          <xm:sqref>J26:J27 D26:E27 AE26:AE27 AC26:AC27 AA26:AA27 Y26:Y27 W26:W27 U26:U27 P26:S27 AO26:AO27</xm:sqref>
        </x14:dataValidation>
        <x14:dataValidation type="list" allowBlank="1" showInputMessage="1" showErrorMessage="1" prompt="1 - Insignificante_x000a_2 - Menor_x000a_3 - Moderado_x000a_4 - Mayor_x000a_5 - Catastrófico">
          <x14:formula1>
            <xm:f>[4]Listas!#REF!</xm:f>
          </x14:formula1>
          <xm:sqref>L26:L27 AK26:AK27</xm:sqref>
        </x14:dataValidation>
        <x14:dataValidation type="list" allowBlank="1" showInputMessage="1" showErrorMessage="1" prompt="1 - Rara vez_x000a_2 - Improbable_x000a_3 - Posible_x000a_4 - Probable_x000a_5 - Casi Seguro">
          <x14:formula1>
            <xm:f>[4]Listas!#REF!</xm:f>
          </x14:formula1>
          <xm:sqref>K26:K27 AJ26:AJ27</xm:sqref>
        </x14:dataValidation>
        <x14:dataValidation type="list" allowBlank="1" showInputMessage="1" showErrorMessage="1">
          <x14:formula1>
            <xm:f>[5]Listas!#REF!</xm:f>
          </x14:formula1>
          <xm:sqref>AO28 J28 D28:E28 AE28 AC28 AA28 Y28 W28 U28 P28:S28</xm:sqref>
        </x14:dataValidation>
        <x14:dataValidation type="list" allowBlank="1" showInputMessage="1" showErrorMessage="1" prompt="1 - Insignificante_x000a_2 - Menor_x000a_3 - Moderado_x000a_4 - Mayor_x000a_5 - Catastrófico">
          <x14:formula1>
            <xm:f>[5]Listas!#REF!</xm:f>
          </x14:formula1>
          <xm:sqref>L28 AK28</xm:sqref>
        </x14:dataValidation>
        <x14:dataValidation type="list" allowBlank="1" showInputMessage="1" showErrorMessage="1" prompt="1 - Rara vez_x000a_2 - Improbable_x000a_3 - Posible_x000a_4 - Probable_x000a_5 - Casi Seguro">
          <x14:formula1>
            <xm:f>[5]Listas!#REF!</xm:f>
          </x14:formula1>
          <xm:sqref>K28 AJ28</xm:sqref>
        </x14:dataValidation>
        <x14:dataValidation type="list" allowBlank="1" showInputMessage="1" showErrorMessage="1">
          <x14:formula1>
            <xm:f>[6]Listas!#REF!</xm:f>
          </x14:formula1>
          <xm:sqref>J29:J30 D29:E30 AO29:AO30 AE29:AE30 AC29:AC30 AA29:AA30 Y29:Y30 W29:W30 U29:U30 P29:S30</xm:sqref>
        </x14:dataValidation>
        <x14:dataValidation type="list" allowBlank="1" showInputMessage="1" showErrorMessage="1" prompt="1 - Insignificante_x000a_2 - Menor_x000a_3 - Moderado_x000a_4 - Mayor_x000a_5 - Catastrófico">
          <x14:formula1>
            <xm:f>[6]Listas!#REF!</xm:f>
          </x14:formula1>
          <xm:sqref>AK29:AK30 L29:L30</xm:sqref>
        </x14:dataValidation>
        <x14:dataValidation type="list" allowBlank="1" showInputMessage="1" showErrorMessage="1" prompt="1 - Rara vez_x000a_2 - Improbable_x000a_3 - Posible_x000a_4 - Probable_x000a_5 - Casi Seguro">
          <x14:formula1>
            <xm:f>[6]Listas!#REF!</xm:f>
          </x14:formula1>
          <xm:sqref>AJ29:AJ30 K29:K30</xm:sqref>
        </x14:dataValidation>
        <x14:dataValidation type="list" allowBlank="1" showInputMessage="1" showErrorMessage="1">
          <x14:formula1>
            <xm:f>[7]Listas!#REF!</xm:f>
          </x14:formula1>
          <xm:sqref>AO31 AO33 J31 J33 D31:D34 E31 E33:E34 AE31:AE33 AC31:AC33 AA31:AA33 Y31:Y33 W31:W33 U31:U33 P31:S33</xm:sqref>
        </x14:dataValidation>
        <x14:dataValidation type="list" allowBlank="1" showInputMessage="1" showErrorMessage="1" prompt="1 - Insignificante_x000a_2 - Menor_x000a_3 - Moderado_x000a_4 - Mayor_x000a_5 - Catastrófico">
          <x14:formula1>
            <xm:f>[7]Listas!#REF!</xm:f>
          </x14:formula1>
          <xm:sqref>L31 AK31 L33 AK33</xm:sqref>
        </x14:dataValidation>
        <x14:dataValidation type="list" allowBlank="1" showInputMessage="1" showErrorMessage="1" prompt="1 - Rara vez_x000a_2 - Improbable_x000a_3 - Posible_x000a_4 - Probable_x000a_5 - Casi Seguro">
          <x14:formula1>
            <xm:f>[7]Listas!#REF!</xm:f>
          </x14:formula1>
          <xm:sqref>K31 AJ31 K33 AJ33</xm:sqref>
        </x14:dataValidation>
        <x14:dataValidation type="list" allowBlank="1" showInputMessage="1" showErrorMessage="1">
          <x14:formula1>
            <xm:f>[8]Listas!#REF!</xm:f>
          </x14:formula1>
          <xm:sqref>AO35:AO38 J35 D35:E36 AE35:AE37 AC35:AC37 AA35:AA37 Y35:Y37 W35:W37 U35:U37 P35:S37</xm:sqref>
        </x14:dataValidation>
        <x14:dataValidation type="list" allowBlank="1" showInputMessage="1" showErrorMessage="1" prompt="1 - Insignificante_x000a_2 - Menor_x000a_3 - Moderado_x000a_4 - Mayor_x000a_5 - Catastrófico">
          <x14:formula1>
            <xm:f>[8]Listas!#REF!</xm:f>
          </x14:formula1>
          <xm:sqref>L35 AK35</xm:sqref>
        </x14:dataValidation>
        <x14:dataValidation type="list" allowBlank="1" showInputMessage="1" showErrorMessage="1" prompt="1 - Rara vez_x000a_2 - Improbable_x000a_3 - Posible_x000a_4 - Probable_x000a_5 - Casi Seguro">
          <x14:formula1>
            <xm:f>[8]Listas!#REF!</xm:f>
          </x14:formula1>
          <xm:sqref>K35 AJ35</xm:sqref>
        </x14:dataValidation>
        <x14:dataValidation type="list" allowBlank="1" showInputMessage="1" showErrorMessage="1">
          <x14:formula1>
            <xm:f>[9]Listas!#REF!</xm:f>
          </x14:formula1>
          <xm:sqref>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D9" sqref="D9"/>
    </sheetView>
  </sheetViews>
  <sheetFormatPr baseColWidth="10" defaultRowHeight="15" x14ac:dyDescent="0.25"/>
  <cols>
    <col min="1" max="2" width="16.5703125" customWidth="1"/>
    <col min="3" max="3" width="59.28515625" customWidth="1"/>
    <col min="4" max="4" width="61.85546875" customWidth="1"/>
    <col min="6" max="6" width="15" customWidth="1"/>
    <col min="7" max="7" width="14" customWidth="1"/>
    <col min="8" max="8" width="17.42578125" bestFit="1" customWidth="1"/>
    <col min="12" max="12" width="11.140625" customWidth="1"/>
    <col min="13" max="13" width="16.42578125" customWidth="1"/>
    <col min="14" max="14" width="61.7109375" customWidth="1"/>
    <col min="15" max="15" width="12.140625" customWidth="1"/>
  </cols>
  <sheetData>
    <row r="1" spans="1:14" ht="24" customHeight="1" x14ac:dyDescent="0.25">
      <c r="A1" s="178"/>
      <c r="B1" s="178"/>
      <c r="C1" s="179" t="s">
        <v>117</v>
      </c>
      <c r="D1" s="179"/>
      <c r="E1" s="179"/>
      <c r="F1" s="179"/>
      <c r="G1" s="179"/>
      <c r="H1" s="179"/>
      <c r="I1" s="179"/>
      <c r="J1" s="179"/>
      <c r="K1" s="179"/>
      <c r="L1" s="221" t="s">
        <v>119</v>
      </c>
      <c r="M1" s="221"/>
      <c r="N1" s="221"/>
    </row>
    <row r="2" spans="1:14" ht="24" customHeight="1" x14ac:dyDescent="0.25">
      <c r="A2" s="178"/>
      <c r="B2" s="178"/>
      <c r="C2" s="172" t="s">
        <v>118</v>
      </c>
      <c r="D2" s="173"/>
      <c r="E2" s="173"/>
      <c r="F2" s="173"/>
      <c r="G2" s="173"/>
      <c r="H2" s="173"/>
      <c r="I2" s="173"/>
      <c r="J2" s="173"/>
      <c r="K2" s="174"/>
      <c r="L2" s="221" t="s">
        <v>221</v>
      </c>
      <c r="M2" s="221"/>
      <c r="N2" s="221"/>
    </row>
    <row r="3" spans="1:14" ht="24" customHeight="1" x14ac:dyDescent="0.25">
      <c r="A3" s="178"/>
      <c r="B3" s="178"/>
      <c r="C3" s="175"/>
      <c r="D3" s="176"/>
      <c r="E3" s="176"/>
      <c r="F3" s="176"/>
      <c r="G3" s="176"/>
      <c r="H3" s="176"/>
      <c r="I3" s="176"/>
      <c r="J3" s="176"/>
      <c r="K3" s="177"/>
      <c r="L3" s="221" t="s">
        <v>228</v>
      </c>
      <c r="M3" s="221"/>
      <c r="N3" s="221"/>
    </row>
    <row r="4" spans="1:14" ht="23.25" x14ac:dyDescent="0.25">
      <c r="A4" s="4"/>
      <c r="B4" s="13"/>
      <c r="C4" s="13"/>
      <c r="I4" s="22"/>
      <c r="J4" s="22"/>
    </row>
    <row r="5" spans="1:14" ht="19.5" customHeight="1" x14ac:dyDescent="0.25">
      <c r="A5" s="220" t="s">
        <v>178</v>
      </c>
      <c r="B5" s="220"/>
      <c r="C5" s="220"/>
      <c r="D5" s="220"/>
      <c r="E5" s="220"/>
      <c r="F5" s="220"/>
    </row>
    <row r="7" spans="1:14" x14ac:dyDescent="0.25">
      <c r="A7" s="66" t="s">
        <v>120</v>
      </c>
      <c r="B7" s="66" t="s">
        <v>121</v>
      </c>
      <c r="C7" s="66" t="s">
        <v>226</v>
      </c>
      <c r="D7" s="66" t="s">
        <v>126</v>
      </c>
    </row>
    <row r="8" spans="1:14" ht="17.25" customHeight="1" x14ac:dyDescent="0.25">
      <c r="A8" s="24">
        <v>5</v>
      </c>
      <c r="B8" s="24" t="s">
        <v>122</v>
      </c>
      <c r="C8" s="25" t="s">
        <v>194</v>
      </c>
      <c r="D8" s="24" t="s">
        <v>222</v>
      </c>
    </row>
    <row r="9" spans="1:14" ht="14.25" customHeight="1" x14ac:dyDescent="0.25">
      <c r="A9" s="24">
        <v>4</v>
      </c>
      <c r="B9" s="24" t="s">
        <v>123</v>
      </c>
      <c r="C9" s="25" t="s">
        <v>195</v>
      </c>
      <c r="D9" s="24" t="s">
        <v>223</v>
      </c>
    </row>
    <row r="10" spans="1:14" x14ac:dyDescent="0.25">
      <c r="A10" s="24">
        <v>3</v>
      </c>
      <c r="B10" s="24" t="s">
        <v>124</v>
      </c>
      <c r="C10" s="25" t="s">
        <v>196</v>
      </c>
      <c r="D10" s="24" t="s">
        <v>227</v>
      </c>
    </row>
    <row r="11" spans="1:14" x14ac:dyDescent="0.25">
      <c r="A11" s="24">
        <v>2</v>
      </c>
      <c r="B11" s="24" t="s">
        <v>125</v>
      </c>
      <c r="C11" s="25" t="s">
        <v>197</v>
      </c>
      <c r="D11" s="24" t="s">
        <v>224</v>
      </c>
    </row>
    <row r="12" spans="1:14" ht="30" x14ac:dyDescent="0.25">
      <c r="A12" s="24">
        <v>1</v>
      </c>
      <c r="B12" s="24" t="s">
        <v>127</v>
      </c>
      <c r="C12" s="26" t="s">
        <v>198</v>
      </c>
      <c r="D12" s="24" t="s">
        <v>225</v>
      </c>
    </row>
    <row r="15" spans="1:14" x14ac:dyDescent="0.25">
      <c r="A15" s="220" t="s">
        <v>170</v>
      </c>
      <c r="B15" s="220"/>
      <c r="C15" s="220"/>
      <c r="D15" s="220"/>
      <c r="E15" s="220"/>
      <c r="F15" s="220"/>
    </row>
    <row r="17" spans="1:4" x14ac:dyDescent="0.25">
      <c r="A17" s="24" t="s">
        <v>120</v>
      </c>
      <c r="B17" s="24" t="s">
        <v>121</v>
      </c>
      <c r="C17" s="24" t="s">
        <v>174</v>
      </c>
      <c r="D17" s="24" t="s">
        <v>175</v>
      </c>
    </row>
    <row r="18" spans="1:4" ht="166.5" customHeight="1" x14ac:dyDescent="0.25">
      <c r="A18" s="24">
        <v>5</v>
      </c>
      <c r="B18" s="24" t="s">
        <v>171</v>
      </c>
      <c r="C18" s="45" t="s">
        <v>199</v>
      </c>
      <c r="D18" s="45" t="s">
        <v>190</v>
      </c>
    </row>
    <row r="19" spans="1:4" ht="165" x14ac:dyDescent="0.25">
      <c r="A19" s="24">
        <v>4</v>
      </c>
      <c r="B19" s="24" t="s">
        <v>164</v>
      </c>
      <c r="C19" s="45" t="s">
        <v>200</v>
      </c>
      <c r="D19" s="45" t="s">
        <v>191</v>
      </c>
    </row>
    <row r="20" spans="1:4" ht="165" x14ac:dyDescent="0.25">
      <c r="A20" s="24">
        <v>3</v>
      </c>
      <c r="B20" s="24" t="s">
        <v>84</v>
      </c>
      <c r="C20" s="45" t="s">
        <v>201</v>
      </c>
      <c r="D20" s="45" t="s">
        <v>192</v>
      </c>
    </row>
    <row r="21" spans="1:4" ht="165" x14ac:dyDescent="0.25">
      <c r="A21" s="24">
        <v>2</v>
      </c>
      <c r="B21" s="24" t="s">
        <v>172</v>
      </c>
      <c r="C21" s="45" t="s">
        <v>203</v>
      </c>
      <c r="D21" s="45" t="s">
        <v>193</v>
      </c>
    </row>
    <row r="22" spans="1:4" ht="165" x14ac:dyDescent="0.25">
      <c r="A22" s="24">
        <v>1</v>
      </c>
      <c r="B22" s="24" t="s">
        <v>173</v>
      </c>
      <c r="C22" s="45" t="s">
        <v>202</v>
      </c>
      <c r="D22" s="45" t="s">
        <v>179</v>
      </c>
    </row>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50" spans="1:1" x14ac:dyDescent="0.25">
      <c r="A50" t="s">
        <v>218</v>
      </c>
    </row>
    <row r="51" spans="1:1" x14ac:dyDescent="0.25">
      <c r="A51" t="s">
        <v>217</v>
      </c>
    </row>
  </sheetData>
  <mergeCells count="8">
    <mergeCell ref="A15:F15"/>
    <mergeCell ref="L1:N1"/>
    <mergeCell ref="C2:K3"/>
    <mergeCell ref="L2:N2"/>
    <mergeCell ref="L3:N3"/>
    <mergeCell ref="A5:F5"/>
    <mergeCell ref="A1:B3"/>
    <mergeCell ref="C1:K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opLeftCell="A32" workbookViewId="0">
      <selection activeCell="H46" sqref="H46"/>
    </sheetView>
  </sheetViews>
  <sheetFormatPr baseColWidth="10" defaultRowHeight="15" x14ac:dyDescent="0.25"/>
  <cols>
    <col min="1" max="1" width="15" customWidth="1"/>
    <col min="2" max="2" width="20.85546875" customWidth="1"/>
    <col min="3" max="3" width="44" customWidth="1"/>
    <col min="4" max="4" width="33.85546875" customWidth="1"/>
    <col min="6" max="9" width="13" customWidth="1"/>
  </cols>
  <sheetData>
    <row r="1" spans="1:18" ht="26.25" customHeight="1" x14ac:dyDescent="0.25">
      <c r="A1" s="178"/>
      <c r="B1" s="178"/>
      <c r="C1" s="179" t="s">
        <v>117</v>
      </c>
      <c r="D1" s="179"/>
      <c r="E1" s="179"/>
      <c r="F1" s="179"/>
      <c r="G1" s="179"/>
      <c r="H1" s="179"/>
      <c r="I1" s="179"/>
      <c r="J1" s="179"/>
      <c r="K1" s="179"/>
      <c r="L1" s="221" t="s">
        <v>119</v>
      </c>
      <c r="M1" s="221"/>
      <c r="N1" s="221"/>
    </row>
    <row r="2" spans="1:18" ht="28.5" customHeight="1" x14ac:dyDescent="0.25">
      <c r="A2" s="178"/>
      <c r="B2" s="178"/>
      <c r="C2" s="179" t="s">
        <v>118</v>
      </c>
      <c r="D2" s="179"/>
      <c r="E2" s="179"/>
      <c r="F2" s="179"/>
      <c r="G2" s="179"/>
      <c r="H2" s="179"/>
      <c r="I2" s="179"/>
      <c r="J2" s="179"/>
      <c r="K2" s="179"/>
      <c r="L2" s="221" t="s">
        <v>221</v>
      </c>
      <c r="M2" s="221"/>
      <c r="N2" s="221"/>
    </row>
    <row r="3" spans="1:18" ht="28.5" customHeight="1" x14ac:dyDescent="0.25">
      <c r="A3" s="178"/>
      <c r="B3" s="178"/>
      <c r="C3" s="179"/>
      <c r="D3" s="179"/>
      <c r="E3" s="179"/>
      <c r="F3" s="179"/>
      <c r="G3" s="179"/>
      <c r="H3" s="179"/>
      <c r="I3" s="179"/>
      <c r="J3" s="179"/>
      <c r="K3" s="179"/>
      <c r="L3" s="221" t="s">
        <v>228</v>
      </c>
      <c r="M3" s="221"/>
      <c r="N3" s="221"/>
    </row>
    <row r="4" spans="1:18" ht="15" customHeight="1" x14ac:dyDescent="0.25">
      <c r="A4" s="34"/>
      <c r="B4" s="33"/>
      <c r="C4" s="33"/>
      <c r="D4" s="33"/>
      <c r="E4" s="33"/>
      <c r="F4" s="33"/>
      <c r="G4" s="35"/>
      <c r="H4" s="35"/>
      <c r="I4" s="35"/>
      <c r="J4" s="32"/>
      <c r="K4" s="32"/>
      <c r="L4" s="32"/>
      <c r="M4" s="32"/>
      <c r="N4" s="32"/>
    </row>
    <row r="5" spans="1:18" ht="45" x14ac:dyDescent="0.25">
      <c r="A5" s="36" t="s">
        <v>132</v>
      </c>
      <c r="B5" s="226" t="s">
        <v>91</v>
      </c>
      <c r="C5" s="227"/>
      <c r="D5" s="227"/>
      <c r="E5" s="228"/>
      <c r="F5" s="37" t="s">
        <v>92</v>
      </c>
      <c r="G5" s="37" t="s">
        <v>93</v>
      </c>
      <c r="H5" s="37" t="s">
        <v>94</v>
      </c>
      <c r="I5" s="37" t="s">
        <v>95</v>
      </c>
      <c r="J5" s="32"/>
      <c r="K5" s="32"/>
      <c r="L5" s="32"/>
      <c r="M5" s="32"/>
      <c r="N5" s="32"/>
      <c r="O5" s="32"/>
      <c r="P5" s="32"/>
      <c r="Q5" s="32"/>
      <c r="R5" s="32"/>
    </row>
    <row r="6" spans="1:18" x14ac:dyDescent="0.25">
      <c r="A6" s="9">
        <v>1</v>
      </c>
      <c r="B6" s="222"/>
      <c r="C6" s="222"/>
      <c r="D6" s="222"/>
      <c r="E6" s="222"/>
      <c r="F6" s="6"/>
      <c r="G6" s="6"/>
      <c r="H6" s="6"/>
      <c r="I6" s="6"/>
      <c r="J6" s="32"/>
      <c r="K6" s="32"/>
      <c r="L6" s="32"/>
      <c r="M6" s="32"/>
      <c r="N6" s="32"/>
      <c r="O6" s="32"/>
      <c r="P6" s="32"/>
      <c r="Q6" s="32"/>
      <c r="R6" s="32"/>
    </row>
    <row r="7" spans="1:18" x14ac:dyDescent="0.25">
      <c r="A7" s="9">
        <v>2</v>
      </c>
      <c r="B7" s="222"/>
      <c r="C7" s="222"/>
      <c r="D7" s="222"/>
      <c r="E7" s="222"/>
      <c r="F7" s="6"/>
      <c r="G7" s="6"/>
      <c r="H7" s="6"/>
      <c r="I7" s="6"/>
      <c r="J7" s="32"/>
      <c r="K7" s="32"/>
      <c r="L7" s="32"/>
      <c r="M7" s="32"/>
      <c r="N7" s="32"/>
      <c r="O7" s="32"/>
      <c r="P7" s="32"/>
      <c r="Q7" s="32"/>
      <c r="R7" s="32"/>
    </row>
    <row r="8" spans="1:18" x14ac:dyDescent="0.25">
      <c r="A8" s="9">
        <v>3</v>
      </c>
      <c r="B8" s="222"/>
      <c r="C8" s="222"/>
      <c r="D8" s="222"/>
      <c r="E8" s="222"/>
      <c r="F8" s="6"/>
      <c r="G8" s="6"/>
      <c r="H8" s="6"/>
      <c r="I8" s="6"/>
      <c r="J8" s="32"/>
      <c r="K8" s="32"/>
      <c r="L8" s="32"/>
      <c r="M8" s="32"/>
      <c r="N8" s="32"/>
      <c r="O8" s="32"/>
      <c r="P8" s="32"/>
      <c r="Q8" s="32"/>
      <c r="R8" s="32"/>
    </row>
    <row r="9" spans="1:18" x14ac:dyDescent="0.25">
      <c r="A9" s="9">
        <v>4</v>
      </c>
      <c r="B9" s="222"/>
      <c r="C9" s="222"/>
      <c r="D9" s="222"/>
      <c r="E9" s="222"/>
      <c r="F9" s="6"/>
      <c r="G9" s="6"/>
      <c r="H9" s="6"/>
      <c r="I9" s="6"/>
      <c r="J9" s="32"/>
      <c r="K9" s="32"/>
      <c r="L9" s="32"/>
      <c r="M9" s="32"/>
      <c r="N9" s="32"/>
      <c r="O9" s="32"/>
      <c r="P9" s="32"/>
      <c r="Q9" s="32"/>
      <c r="R9" s="32"/>
    </row>
    <row r="10" spans="1:18" x14ac:dyDescent="0.25">
      <c r="A10" s="9">
        <v>5</v>
      </c>
      <c r="B10" s="222"/>
      <c r="C10" s="222"/>
      <c r="D10" s="222"/>
      <c r="E10" s="222"/>
      <c r="F10" s="6"/>
      <c r="G10" s="6"/>
      <c r="H10" s="6"/>
      <c r="I10" s="6"/>
      <c r="J10" s="32"/>
      <c r="K10" s="32"/>
      <c r="L10" s="32"/>
      <c r="M10" s="32"/>
      <c r="N10" s="32"/>
      <c r="O10" s="32"/>
      <c r="P10" s="32"/>
      <c r="Q10" s="32"/>
      <c r="R10" s="32"/>
    </row>
    <row r="11" spans="1:18" ht="23.25" x14ac:dyDescent="0.25">
      <c r="A11" s="4"/>
      <c r="B11" s="29"/>
      <c r="C11" s="29"/>
      <c r="D11" s="29"/>
      <c r="E11" s="29"/>
      <c r="F11" s="29"/>
      <c r="G11" s="22"/>
      <c r="H11" s="22"/>
      <c r="I11" s="22"/>
      <c r="J11" s="32"/>
      <c r="K11" s="32"/>
      <c r="L11" s="32"/>
      <c r="M11" s="32"/>
      <c r="N11" s="32"/>
      <c r="O11" s="32"/>
      <c r="P11" s="32"/>
      <c r="Q11" s="32"/>
      <c r="R11" s="32"/>
    </row>
    <row r="12" spans="1:18" ht="23.25" x14ac:dyDescent="0.25">
      <c r="A12" s="220" t="s">
        <v>176</v>
      </c>
      <c r="B12" s="220"/>
      <c r="C12" s="220"/>
      <c r="D12" s="220"/>
      <c r="E12" s="220"/>
      <c r="F12" s="220"/>
      <c r="G12" s="22"/>
      <c r="H12" s="22"/>
      <c r="I12" s="22"/>
      <c r="J12" s="32"/>
      <c r="K12" s="32"/>
      <c r="L12" s="32"/>
      <c r="M12" s="32"/>
      <c r="N12" s="32"/>
      <c r="O12" s="32"/>
      <c r="P12" s="32"/>
      <c r="Q12" s="32"/>
      <c r="R12" s="32"/>
    </row>
    <row r="13" spans="1:18" ht="23.25" x14ac:dyDescent="0.25">
      <c r="G13" s="22"/>
      <c r="H13" s="22"/>
      <c r="I13" s="22"/>
      <c r="J13" s="32"/>
      <c r="K13" s="32"/>
      <c r="L13" s="32"/>
      <c r="M13" s="32"/>
      <c r="N13" s="32"/>
      <c r="O13" s="32"/>
      <c r="P13" s="32"/>
      <c r="Q13" s="32"/>
      <c r="R13" s="32"/>
    </row>
    <row r="14" spans="1:18" ht="23.25" x14ac:dyDescent="0.25">
      <c r="A14" s="66" t="s">
        <v>120</v>
      </c>
      <c r="B14" s="66" t="s">
        <v>121</v>
      </c>
      <c r="C14" s="66" t="s">
        <v>226</v>
      </c>
      <c r="D14" s="66" t="s">
        <v>126</v>
      </c>
      <c r="G14" s="22"/>
      <c r="H14" s="22"/>
      <c r="I14" s="22"/>
      <c r="J14" s="32"/>
      <c r="K14" s="32"/>
      <c r="L14" s="32"/>
      <c r="M14" s="32"/>
      <c r="N14" s="32"/>
      <c r="O14" s="32"/>
      <c r="P14" s="32"/>
      <c r="Q14" s="32"/>
      <c r="R14" s="32"/>
    </row>
    <row r="15" spans="1:18" ht="30" x14ac:dyDescent="0.25">
      <c r="A15" s="24">
        <v>5</v>
      </c>
      <c r="B15" s="24" t="s">
        <v>122</v>
      </c>
      <c r="C15" s="25" t="s">
        <v>194</v>
      </c>
      <c r="D15" s="24" t="s">
        <v>222</v>
      </c>
      <c r="G15" s="22"/>
      <c r="H15" s="22"/>
      <c r="I15" s="22"/>
      <c r="J15" s="32"/>
      <c r="K15" s="32"/>
      <c r="L15" s="32"/>
      <c r="M15" s="32"/>
      <c r="N15" s="32"/>
      <c r="O15" s="32"/>
      <c r="P15" s="32"/>
      <c r="Q15" s="32"/>
      <c r="R15" s="32"/>
    </row>
    <row r="16" spans="1:18" ht="30" x14ac:dyDescent="0.25">
      <c r="A16" s="24">
        <v>4</v>
      </c>
      <c r="B16" s="24" t="s">
        <v>123</v>
      </c>
      <c r="C16" s="25" t="s">
        <v>195</v>
      </c>
      <c r="D16" s="24" t="s">
        <v>223</v>
      </c>
      <c r="G16" s="22"/>
      <c r="H16" s="22"/>
      <c r="I16" s="22"/>
      <c r="J16" s="32"/>
      <c r="K16" s="32"/>
      <c r="L16" s="32"/>
      <c r="M16" s="32"/>
      <c r="N16" s="32"/>
      <c r="O16" s="32"/>
      <c r="P16" s="32"/>
      <c r="Q16" s="32"/>
      <c r="R16" s="32"/>
    </row>
    <row r="17" spans="1:18" ht="23.25" x14ac:dyDescent="0.25">
      <c r="A17" s="24">
        <v>3</v>
      </c>
      <c r="B17" s="24" t="s">
        <v>124</v>
      </c>
      <c r="C17" s="25" t="s">
        <v>196</v>
      </c>
      <c r="D17" s="24" t="s">
        <v>227</v>
      </c>
      <c r="G17" s="22"/>
      <c r="H17" s="22"/>
      <c r="I17" s="22"/>
      <c r="J17" s="32"/>
      <c r="K17" s="32"/>
      <c r="L17" s="32"/>
      <c r="M17" s="32"/>
      <c r="N17" s="32"/>
      <c r="O17" s="32"/>
      <c r="P17" s="32"/>
      <c r="Q17" s="32"/>
      <c r="R17" s="32"/>
    </row>
    <row r="18" spans="1:18" ht="23.25" x14ac:dyDescent="0.25">
      <c r="A18" s="24">
        <v>2</v>
      </c>
      <c r="B18" s="24" t="s">
        <v>125</v>
      </c>
      <c r="C18" s="25" t="s">
        <v>197</v>
      </c>
      <c r="D18" s="24" t="s">
        <v>224</v>
      </c>
      <c r="G18" s="22"/>
      <c r="H18" s="22"/>
      <c r="I18" s="22"/>
      <c r="J18" s="32"/>
      <c r="K18" s="32"/>
      <c r="L18" s="32"/>
      <c r="M18" s="32"/>
      <c r="N18" s="32"/>
      <c r="O18" s="32"/>
      <c r="P18" s="32"/>
      <c r="Q18" s="32"/>
      <c r="R18" s="32"/>
    </row>
    <row r="19" spans="1:18" ht="30" x14ac:dyDescent="0.25">
      <c r="A19" s="24">
        <v>1</v>
      </c>
      <c r="B19" s="24" t="s">
        <v>127</v>
      </c>
      <c r="C19" s="26" t="s">
        <v>198</v>
      </c>
      <c r="D19" s="24" t="s">
        <v>225</v>
      </c>
      <c r="G19" s="22"/>
      <c r="H19" s="22"/>
      <c r="I19" s="22"/>
      <c r="J19" s="32"/>
      <c r="K19" s="32"/>
      <c r="L19" s="32"/>
      <c r="M19" s="32"/>
      <c r="N19" s="32"/>
      <c r="O19" s="32"/>
      <c r="P19" s="32"/>
      <c r="Q19" s="32"/>
      <c r="R19" s="32"/>
    </row>
    <row r="20" spans="1:18" ht="23.25" x14ac:dyDescent="0.25">
      <c r="A20" s="4"/>
      <c r="B20" s="29"/>
      <c r="C20" s="29"/>
      <c r="D20" s="29"/>
      <c r="E20" s="29"/>
      <c r="F20" s="29"/>
      <c r="G20" s="22"/>
      <c r="H20" s="22"/>
      <c r="I20" s="22"/>
      <c r="J20" s="32"/>
      <c r="K20" s="32"/>
      <c r="L20" s="32"/>
      <c r="M20" s="32"/>
      <c r="N20" s="32"/>
      <c r="O20" s="32"/>
      <c r="P20" s="32"/>
      <c r="Q20" s="32"/>
      <c r="R20" s="32"/>
    </row>
    <row r="21" spans="1:18" ht="23.25" x14ac:dyDescent="0.25">
      <c r="A21" s="220" t="s">
        <v>177</v>
      </c>
      <c r="B21" s="220"/>
      <c r="C21" s="220"/>
      <c r="D21" s="220"/>
      <c r="E21" s="220"/>
      <c r="F21" s="220"/>
      <c r="G21" s="22"/>
      <c r="H21" s="22"/>
      <c r="I21" s="22"/>
      <c r="J21" s="32"/>
      <c r="K21" s="32"/>
      <c r="L21" s="32"/>
      <c r="M21" s="32"/>
      <c r="N21" s="32"/>
      <c r="O21" s="32"/>
      <c r="P21" s="32"/>
      <c r="Q21" s="32"/>
      <c r="R21" s="32"/>
    </row>
    <row r="22" spans="1:18" ht="23.25" x14ac:dyDescent="0.25">
      <c r="A22" s="4"/>
      <c r="B22" s="29"/>
      <c r="C22" s="29"/>
      <c r="D22" s="29"/>
      <c r="E22" s="29"/>
      <c r="F22" s="29"/>
      <c r="G22" s="22"/>
      <c r="H22" s="22"/>
      <c r="I22" s="22"/>
      <c r="J22" s="32"/>
      <c r="K22" s="32"/>
      <c r="L22" s="32"/>
      <c r="M22" s="32"/>
      <c r="N22" s="32"/>
      <c r="O22" s="32"/>
      <c r="P22" s="32"/>
      <c r="Q22" s="32"/>
      <c r="R22" s="32"/>
    </row>
    <row r="23" spans="1:18" x14ac:dyDescent="0.25">
      <c r="A23" s="7"/>
      <c r="B23" s="7"/>
      <c r="C23" s="7"/>
      <c r="D23" s="7"/>
      <c r="E23" s="7"/>
      <c r="F23" s="229" t="s">
        <v>133</v>
      </c>
      <c r="G23" s="229"/>
      <c r="H23" s="229" t="s">
        <v>133</v>
      </c>
      <c r="I23" s="229"/>
      <c r="J23" s="229" t="s">
        <v>133</v>
      </c>
      <c r="K23" s="229"/>
      <c r="L23" s="229" t="s">
        <v>133</v>
      </c>
      <c r="M23" s="229"/>
      <c r="N23" s="229" t="s">
        <v>133</v>
      </c>
      <c r="O23" s="229"/>
    </row>
    <row r="24" spans="1:18" x14ac:dyDescent="0.25">
      <c r="A24" s="7"/>
      <c r="B24" s="7"/>
      <c r="C24" s="7"/>
      <c r="D24" s="7"/>
      <c r="E24" s="7"/>
      <c r="F24" s="233" t="s">
        <v>87</v>
      </c>
      <c r="G24" s="234"/>
      <c r="H24" s="233" t="s">
        <v>87</v>
      </c>
      <c r="I24" s="234"/>
      <c r="J24" s="233" t="s">
        <v>87</v>
      </c>
      <c r="K24" s="234"/>
      <c r="L24" s="233" t="s">
        <v>87</v>
      </c>
      <c r="M24" s="234"/>
      <c r="N24" s="233" t="s">
        <v>87</v>
      </c>
      <c r="O24" s="234"/>
    </row>
    <row r="25" spans="1:18" ht="27.75" customHeight="1" x14ac:dyDescent="0.25">
      <c r="A25" s="36" t="s">
        <v>132</v>
      </c>
      <c r="B25" s="230" t="s">
        <v>86</v>
      </c>
      <c r="C25" s="231"/>
      <c r="D25" s="231"/>
      <c r="E25" s="232"/>
      <c r="F25" s="36" t="s">
        <v>60</v>
      </c>
      <c r="G25" s="36" t="s">
        <v>61</v>
      </c>
      <c r="H25" s="36" t="s">
        <v>60</v>
      </c>
      <c r="I25" s="36" t="s">
        <v>61</v>
      </c>
      <c r="J25" s="36" t="s">
        <v>60</v>
      </c>
      <c r="K25" s="36" t="s">
        <v>61</v>
      </c>
      <c r="L25" s="36" t="s">
        <v>60</v>
      </c>
      <c r="M25" s="36" t="s">
        <v>61</v>
      </c>
      <c r="N25" s="36" t="s">
        <v>60</v>
      </c>
      <c r="O25" s="36" t="s">
        <v>61</v>
      </c>
    </row>
    <row r="26" spans="1:18" x14ac:dyDescent="0.25">
      <c r="A26" s="5">
        <v>1</v>
      </c>
      <c r="B26" s="223" t="s">
        <v>146</v>
      </c>
      <c r="C26" s="224"/>
      <c r="D26" s="224"/>
      <c r="E26" s="225"/>
      <c r="F26" s="6"/>
      <c r="G26" s="6" t="s">
        <v>238</v>
      </c>
      <c r="H26" s="6"/>
      <c r="I26" s="6"/>
      <c r="J26" s="6"/>
      <c r="K26" s="6"/>
      <c r="L26" s="6"/>
      <c r="M26" s="6"/>
      <c r="N26" s="10"/>
      <c r="O26" s="10"/>
    </row>
    <row r="27" spans="1:18" x14ac:dyDescent="0.25">
      <c r="A27" s="5">
        <v>2</v>
      </c>
      <c r="B27" s="223" t="s">
        <v>147</v>
      </c>
      <c r="C27" s="224"/>
      <c r="D27" s="224"/>
      <c r="E27" s="225"/>
      <c r="F27" s="6" t="s">
        <v>238</v>
      </c>
      <c r="G27" s="6"/>
      <c r="H27" s="6"/>
      <c r="I27" s="6"/>
      <c r="J27" s="6"/>
      <c r="K27" s="6"/>
      <c r="L27" s="6"/>
      <c r="M27" s="6"/>
      <c r="N27" s="10"/>
      <c r="O27" s="10"/>
    </row>
    <row r="28" spans="1:18" x14ac:dyDescent="0.25">
      <c r="A28" s="5">
        <v>3</v>
      </c>
      <c r="B28" s="223" t="s">
        <v>148</v>
      </c>
      <c r="C28" s="224"/>
      <c r="D28" s="224"/>
      <c r="E28" s="225"/>
      <c r="F28" s="6" t="s">
        <v>238</v>
      </c>
      <c r="G28" s="6"/>
      <c r="H28" s="6"/>
      <c r="I28" s="6"/>
      <c r="J28" s="6"/>
      <c r="K28" s="6"/>
      <c r="L28" s="6"/>
      <c r="M28" s="6"/>
      <c r="N28" s="10"/>
      <c r="O28" s="10"/>
    </row>
    <row r="29" spans="1:18" x14ac:dyDescent="0.25">
      <c r="A29" s="5">
        <v>4</v>
      </c>
      <c r="B29" s="223" t="s">
        <v>149</v>
      </c>
      <c r="C29" s="224"/>
      <c r="D29" s="224"/>
      <c r="E29" s="225"/>
      <c r="F29" s="6"/>
      <c r="G29" s="6" t="s">
        <v>238</v>
      </c>
      <c r="H29" s="6"/>
      <c r="I29" s="6"/>
      <c r="J29" s="6"/>
      <c r="K29" s="6"/>
      <c r="L29" s="6"/>
      <c r="M29" s="6"/>
      <c r="N29" s="10"/>
      <c r="O29" s="10"/>
    </row>
    <row r="30" spans="1:18" x14ac:dyDescent="0.25">
      <c r="A30" s="5">
        <v>5</v>
      </c>
      <c r="B30" s="223" t="s">
        <v>150</v>
      </c>
      <c r="C30" s="224"/>
      <c r="D30" s="224"/>
      <c r="E30" s="225"/>
      <c r="F30" s="6" t="s">
        <v>238</v>
      </c>
      <c r="G30" s="6"/>
      <c r="H30" s="6"/>
      <c r="I30" s="6"/>
      <c r="J30" s="6"/>
      <c r="K30" s="6"/>
      <c r="L30" s="6"/>
      <c r="M30" s="6"/>
      <c r="N30" s="10"/>
      <c r="O30" s="10"/>
    </row>
    <row r="31" spans="1:18" x14ac:dyDescent="0.25">
      <c r="A31" s="5">
        <v>6</v>
      </c>
      <c r="B31" s="223" t="s">
        <v>151</v>
      </c>
      <c r="C31" s="224"/>
      <c r="D31" s="224"/>
      <c r="E31" s="225"/>
      <c r="F31" s="6"/>
      <c r="G31" s="6" t="s">
        <v>238</v>
      </c>
      <c r="H31" s="6"/>
      <c r="I31" s="6"/>
      <c r="J31" s="6"/>
      <c r="K31" s="6"/>
      <c r="L31" s="6"/>
      <c r="M31" s="6"/>
      <c r="N31" s="10"/>
      <c r="O31" s="10"/>
    </row>
    <row r="32" spans="1:18" x14ac:dyDescent="0.25">
      <c r="A32" s="5">
        <v>7</v>
      </c>
      <c r="B32" s="223" t="s">
        <v>152</v>
      </c>
      <c r="C32" s="224"/>
      <c r="D32" s="224"/>
      <c r="E32" s="225"/>
      <c r="F32" s="6"/>
      <c r="G32" s="6" t="s">
        <v>238</v>
      </c>
      <c r="H32" s="6"/>
      <c r="I32" s="6"/>
      <c r="J32" s="6"/>
      <c r="K32" s="6"/>
      <c r="L32" s="6"/>
      <c r="M32" s="6"/>
      <c r="N32" s="10"/>
      <c r="O32" s="10"/>
    </row>
    <row r="33" spans="1:15" ht="30.75" customHeight="1" x14ac:dyDescent="0.25">
      <c r="A33" s="5">
        <v>8</v>
      </c>
      <c r="B33" s="223" t="s">
        <v>153</v>
      </c>
      <c r="C33" s="224"/>
      <c r="D33" s="224"/>
      <c r="E33" s="225"/>
      <c r="F33" s="6"/>
      <c r="G33" s="6" t="s">
        <v>238</v>
      </c>
      <c r="H33" s="6"/>
      <c r="I33" s="6"/>
      <c r="J33" s="6"/>
      <c r="K33" s="6"/>
      <c r="L33" s="6"/>
      <c r="M33" s="6"/>
      <c r="N33" s="10"/>
      <c r="O33" s="10"/>
    </row>
    <row r="34" spans="1:15" x14ac:dyDescent="0.25">
      <c r="A34" s="5">
        <v>9</v>
      </c>
      <c r="B34" s="223" t="s">
        <v>154</v>
      </c>
      <c r="C34" s="224"/>
      <c r="D34" s="224"/>
      <c r="E34" s="225"/>
      <c r="F34" s="6"/>
      <c r="G34" s="6" t="s">
        <v>238</v>
      </c>
      <c r="H34" s="6"/>
      <c r="I34" s="6"/>
      <c r="J34" s="6"/>
      <c r="K34" s="6"/>
      <c r="L34" s="6"/>
      <c r="M34" s="6"/>
      <c r="N34" s="10"/>
      <c r="O34" s="10"/>
    </row>
    <row r="35" spans="1:15" x14ac:dyDescent="0.25">
      <c r="A35" s="5">
        <v>10</v>
      </c>
      <c r="B35" s="223" t="s">
        <v>155</v>
      </c>
      <c r="C35" s="224"/>
      <c r="D35" s="224"/>
      <c r="E35" s="225"/>
      <c r="F35" s="6" t="s">
        <v>238</v>
      </c>
      <c r="G35" s="6"/>
      <c r="H35" s="6"/>
      <c r="I35" s="6"/>
      <c r="J35" s="6"/>
      <c r="K35" s="6"/>
      <c r="L35" s="6"/>
      <c r="M35" s="6"/>
      <c r="N35" s="10"/>
      <c r="O35" s="10"/>
    </row>
    <row r="36" spans="1:15" x14ac:dyDescent="0.25">
      <c r="A36" s="5">
        <v>11</v>
      </c>
      <c r="B36" s="223" t="s">
        <v>156</v>
      </c>
      <c r="C36" s="224"/>
      <c r="D36" s="224"/>
      <c r="E36" s="225"/>
      <c r="F36" s="6" t="s">
        <v>238</v>
      </c>
      <c r="G36" s="6"/>
      <c r="H36" s="6"/>
      <c r="I36" s="6"/>
      <c r="J36" s="6"/>
      <c r="K36" s="6"/>
      <c r="L36" s="6"/>
      <c r="M36" s="6"/>
      <c r="N36" s="10"/>
      <c r="O36" s="10"/>
    </row>
    <row r="37" spans="1:15" x14ac:dyDescent="0.25">
      <c r="A37" s="5">
        <v>12</v>
      </c>
      <c r="B37" s="223" t="s">
        <v>157</v>
      </c>
      <c r="C37" s="224"/>
      <c r="D37" s="224"/>
      <c r="E37" s="225"/>
      <c r="F37" s="6"/>
      <c r="G37" s="6" t="s">
        <v>238</v>
      </c>
      <c r="H37" s="6"/>
      <c r="I37" s="6"/>
      <c r="J37" s="6"/>
      <c r="K37" s="6"/>
      <c r="L37" s="6"/>
      <c r="M37" s="6"/>
      <c r="N37" s="10"/>
      <c r="O37" s="10"/>
    </row>
    <row r="38" spans="1:15" x14ac:dyDescent="0.25">
      <c r="A38" s="5">
        <v>13</v>
      </c>
      <c r="B38" s="223" t="s">
        <v>158</v>
      </c>
      <c r="C38" s="224"/>
      <c r="D38" s="224"/>
      <c r="E38" s="225"/>
      <c r="F38" s="6"/>
      <c r="G38" s="6" t="s">
        <v>238</v>
      </c>
      <c r="H38" s="6"/>
      <c r="I38" s="6"/>
      <c r="J38" s="6"/>
      <c r="K38" s="6"/>
      <c r="L38" s="6"/>
      <c r="M38" s="6"/>
      <c r="N38" s="10"/>
      <c r="O38" s="10"/>
    </row>
    <row r="39" spans="1:15" x14ac:dyDescent="0.25">
      <c r="A39" s="5">
        <v>14</v>
      </c>
      <c r="B39" s="223" t="s">
        <v>159</v>
      </c>
      <c r="C39" s="224"/>
      <c r="D39" s="224"/>
      <c r="E39" s="225"/>
      <c r="F39" s="6"/>
      <c r="G39" s="6" t="s">
        <v>238</v>
      </c>
      <c r="H39" s="6"/>
      <c r="I39" s="6"/>
      <c r="J39" s="6"/>
      <c r="K39" s="6"/>
      <c r="L39" s="6"/>
      <c r="M39" s="6"/>
      <c r="N39" s="10"/>
      <c r="O39" s="10"/>
    </row>
    <row r="40" spans="1:15" x14ac:dyDescent="0.25">
      <c r="A40" s="5">
        <v>15</v>
      </c>
      <c r="B40" s="223" t="s">
        <v>160</v>
      </c>
      <c r="C40" s="224"/>
      <c r="D40" s="224"/>
      <c r="E40" s="225"/>
      <c r="F40" s="6"/>
      <c r="G40" s="6" t="s">
        <v>238</v>
      </c>
      <c r="H40" s="6"/>
      <c r="I40" s="6"/>
      <c r="J40" s="6"/>
      <c r="K40" s="6"/>
      <c r="L40" s="6"/>
      <c r="M40" s="6"/>
      <c r="N40" s="10"/>
      <c r="O40" s="10"/>
    </row>
    <row r="41" spans="1:15" x14ac:dyDescent="0.25">
      <c r="A41" s="5">
        <v>16</v>
      </c>
      <c r="B41" s="223" t="s">
        <v>161</v>
      </c>
      <c r="C41" s="224"/>
      <c r="D41" s="224"/>
      <c r="E41" s="225"/>
      <c r="F41" s="6"/>
      <c r="G41" s="6"/>
      <c r="H41" s="6"/>
      <c r="I41" s="6"/>
      <c r="J41" s="6"/>
      <c r="K41" s="6"/>
      <c r="L41" s="6"/>
      <c r="M41" s="6"/>
      <c r="N41" s="10"/>
      <c r="O41" s="10"/>
    </row>
    <row r="42" spans="1:15" x14ac:dyDescent="0.25">
      <c r="A42" s="5">
        <v>17</v>
      </c>
      <c r="B42" s="223" t="s">
        <v>182</v>
      </c>
      <c r="C42" s="224"/>
      <c r="D42" s="224"/>
      <c r="E42" s="225"/>
      <c r="F42" s="6" t="s">
        <v>238</v>
      </c>
      <c r="G42" s="6"/>
      <c r="H42" s="6"/>
      <c r="I42" s="6"/>
      <c r="J42" s="6"/>
      <c r="K42" s="6"/>
      <c r="L42" s="6"/>
      <c r="M42" s="6"/>
      <c r="N42" s="10"/>
      <c r="O42" s="10"/>
    </row>
    <row r="43" spans="1:15" x14ac:dyDescent="0.25">
      <c r="A43" s="5">
        <v>18</v>
      </c>
      <c r="B43" s="223" t="s">
        <v>183</v>
      </c>
      <c r="C43" s="224"/>
      <c r="D43" s="224"/>
      <c r="E43" s="225"/>
      <c r="F43" s="6" t="s">
        <v>238</v>
      </c>
      <c r="G43" s="6"/>
      <c r="H43" s="6"/>
      <c r="I43" s="6"/>
      <c r="J43" s="6"/>
      <c r="K43" s="6"/>
      <c r="L43" s="6"/>
      <c r="M43" s="6"/>
      <c r="N43" s="10"/>
      <c r="O43" s="10"/>
    </row>
    <row r="44" spans="1:15" x14ac:dyDescent="0.25">
      <c r="A44" s="9">
        <v>19</v>
      </c>
      <c r="B44" s="223" t="s">
        <v>162</v>
      </c>
      <c r="C44" s="224"/>
      <c r="D44" s="224"/>
      <c r="E44" s="225"/>
      <c r="F44" s="6"/>
      <c r="G44" s="6"/>
      <c r="H44" s="6"/>
      <c r="I44" s="6"/>
      <c r="J44" s="10"/>
      <c r="K44" s="10"/>
      <c r="L44" s="10"/>
      <c r="M44" s="10"/>
      <c r="N44" s="10"/>
      <c r="O44" s="10"/>
    </row>
    <row r="45" spans="1:15" ht="15.75" x14ac:dyDescent="0.25">
      <c r="F45" s="11">
        <v>7</v>
      </c>
      <c r="G45" s="12">
        <v>12</v>
      </c>
      <c r="H45" s="12"/>
      <c r="I45" s="12"/>
      <c r="J45" s="11"/>
      <c r="K45" s="12"/>
      <c r="L45" s="12"/>
      <c r="M45" s="12"/>
      <c r="N45" s="11"/>
      <c r="O45" s="12"/>
    </row>
    <row r="46" spans="1:15" x14ac:dyDescent="0.25">
      <c r="F46" s="8"/>
      <c r="G46" s="8"/>
      <c r="H46" s="8"/>
      <c r="I46" s="8"/>
      <c r="J46" s="8"/>
      <c r="K46" s="8"/>
      <c r="L46" s="8"/>
      <c r="M46" s="8"/>
      <c r="N46" s="8"/>
      <c r="O46" s="8"/>
    </row>
    <row r="47" spans="1:15" x14ac:dyDescent="0.25">
      <c r="A47" s="24" t="s">
        <v>163</v>
      </c>
      <c r="B47" s="24" t="s">
        <v>121</v>
      </c>
      <c r="C47" s="24" t="s">
        <v>166</v>
      </c>
    </row>
    <row r="48" spans="1:15" x14ac:dyDescent="0.25">
      <c r="A48" s="24">
        <v>3</v>
      </c>
      <c r="B48" s="24" t="s">
        <v>84</v>
      </c>
      <c r="C48" s="24" t="s">
        <v>167</v>
      </c>
    </row>
    <row r="49" spans="1:3" x14ac:dyDescent="0.25">
      <c r="A49" s="24">
        <v>4</v>
      </c>
      <c r="B49" s="24" t="s">
        <v>164</v>
      </c>
      <c r="C49" s="24" t="s">
        <v>168</v>
      </c>
    </row>
    <row r="50" spans="1:3" x14ac:dyDescent="0.25">
      <c r="A50" s="24">
        <v>5</v>
      </c>
      <c r="B50" s="24" t="s">
        <v>165</v>
      </c>
      <c r="C50" s="24" t="s">
        <v>169</v>
      </c>
    </row>
    <row r="58" spans="1:3" ht="48.75" customHeight="1" x14ac:dyDescent="0.25"/>
    <row r="59" spans="1:3" ht="44.25" customHeight="1" x14ac:dyDescent="0.25"/>
  </sheetData>
  <mergeCells count="44">
    <mergeCell ref="A12:F12"/>
    <mergeCell ref="A21:F21"/>
    <mergeCell ref="B40:E40"/>
    <mergeCell ref="B41:E41"/>
    <mergeCell ref="B42:E42"/>
    <mergeCell ref="B36:E36"/>
    <mergeCell ref="B26:E26"/>
    <mergeCell ref="B27:E27"/>
    <mergeCell ref="B28:E28"/>
    <mergeCell ref="B29:E29"/>
    <mergeCell ref="B30:E30"/>
    <mergeCell ref="B31:E31"/>
    <mergeCell ref="B33:E33"/>
    <mergeCell ref="B34:E34"/>
    <mergeCell ref="B32:E32"/>
    <mergeCell ref="B35:E35"/>
    <mergeCell ref="N24:O24"/>
    <mergeCell ref="J23:K23"/>
    <mergeCell ref="L23:M23"/>
    <mergeCell ref="J24:K24"/>
    <mergeCell ref="L24:M24"/>
    <mergeCell ref="B44:E44"/>
    <mergeCell ref="B5:E5"/>
    <mergeCell ref="B6:E6"/>
    <mergeCell ref="B7:E7"/>
    <mergeCell ref="N23:O23"/>
    <mergeCell ref="B43:E43"/>
    <mergeCell ref="B37:E37"/>
    <mergeCell ref="F23:G23"/>
    <mergeCell ref="B25:E25"/>
    <mergeCell ref="H23:I23"/>
    <mergeCell ref="F24:G24"/>
    <mergeCell ref="H24:I24"/>
    <mergeCell ref="B9:E9"/>
    <mergeCell ref="B10:E10"/>
    <mergeCell ref="B38:E38"/>
    <mergeCell ref="B39:E39"/>
    <mergeCell ref="L1:N1"/>
    <mergeCell ref="C2:K3"/>
    <mergeCell ref="L2:N2"/>
    <mergeCell ref="L3:N3"/>
    <mergeCell ref="B8:E8"/>
    <mergeCell ref="A1:B3"/>
    <mergeCell ref="C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85" zoomScaleNormal="85" workbookViewId="0">
      <selection activeCell="H5" sqref="H5"/>
    </sheetView>
  </sheetViews>
  <sheetFormatPr baseColWidth="10" defaultRowHeight="15" x14ac:dyDescent="0.25"/>
  <cols>
    <col min="1" max="2" width="16.5703125" customWidth="1"/>
    <col min="3" max="3" width="47.28515625" customWidth="1"/>
    <col min="4" max="4" width="76.28515625" customWidth="1"/>
    <col min="6" max="6" width="15" customWidth="1"/>
    <col min="7" max="7" width="14" customWidth="1"/>
    <col min="8" max="8" width="17.42578125" bestFit="1" customWidth="1"/>
    <col min="12" max="12" width="11.140625" customWidth="1"/>
    <col min="13" max="13" width="16.42578125" customWidth="1"/>
    <col min="14" max="14" width="61.7109375" customWidth="1"/>
    <col min="15" max="15" width="12.140625" customWidth="1"/>
  </cols>
  <sheetData>
    <row r="1" spans="1:14" ht="24" customHeight="1" x14ac:dyDescent="0.25">
      <c r="A1" s="178"/>
      <c r="B1" s="178"/>
      <c r="C1" s="179" t="s">
        <v>117</v>
      </c>
      <c r="D1" s="179"/>
      <c r="E1" s="179"/>
      <c r="F1" s="179"/>
      <c r="G1" s="179"/>
      <c r="H1" s="179"/>
      <c r="I1" s="179"/>
      <c r="J1" s="179"/>
      <c r="K1" s="179"/>
      <c r="L1" s="171" t="s">
        <v>119</v>
      </c>
      <c r="M1" s="171"/>
      <c r="N1" s="171"/>
    </row>
    <row r="2" spans="1:14" ht="24" customHeight="1" x14ac:dyDescent="0.25">
      <c r="A2" s="178"/>
      <c r="B2" s="178"/>
      <c r="C2" s="172" t="s">
        <v>118</v>
      </c>
      <c r="D2" s="173"/>
      <c r="E2" s="173"/>
      <c r="F2" s="173"/>
      <c r="G2" s="173"/>
      <c r="H2" s="173"/>
      <c r="I2" s="173"/>
      <c r="J2" s="173"/>
      <c r="K2" s="174"/>
      <c r="L2" s="171" t="s">
        <v>221</v>
      </c>
      <c r="M2" s="171"/>
      <c r="N2" s="171"/>
    </row>
    <row r="3" spans="1:14" ht="24" customHeight="1" x14ac:dyDescent="0.25">
      <c r="A3" s="178"/>
      <c r="B3" s="178"/>
      <c r="C3" s="175"/>
      <c r="D3" s="176"/>
      <c r="E3" s="176"/>
      <c r="F3" s="176"/>
      <c r="G3" s="176"/>
      <c r="H3" s="176"/>
      <c r="I3" s="176"/>
      <c r="J3" s="176"/>
      <c r="K3" s="177"/>
      <c r="L3" s="171" t="s">
        <v>228</v>
      </c>
      <c r="M3" s="171"/>
      <c r="N3" s="171"/>
    </row>
    <row r="4" spans="1:14" ht="23.25" x14ac:dyDescent="0.25">
      <c r="A4" s="65"/>
      <c r="B4" s="64"/>
      <c r="C4" s="64"/>
      <c r="I4" s="63"/>
      <c r="J4" s="63"/>
    </row>
    <row r="5" spans="1:14" ht="19.5" customHeight="1" x14ac:dyDescent="0.25">
      <c r="A5" s="220" t="s">
        <v>178</v>
      </c>
      <c r="B5" s="220"/>
      <c r="C5" s="220"/>
      <c r="D5" s="220"/>
      <c r="E5" s="220"/>
      <c r="F5" s="220"/>
    </row>
    <row r="7" spans="1:14" ht="15.75" thickBot="1" x14ac:dyDescent="0.3">
      <c r="A7" s="66" t="s">
        <v>120</v>
      </c>
      <c r="B7" s="66" t="s">
        <v>121</v>
      </c>
      <c r="C7" s="66" t="s">
        <v>226</v>
      </c>
      <c r="D7" s="66" t="s">
        <v>126</v>
      </c>
    </row>
    <row r="8" spans="1:14" ht="30.75" thickBot="1" x14ac:dyDescent="0.3">
      <c r="A8" s="24">
        <v>5</v>
      </c>
      <c r="B8" s="24" t="s">
        <v>122</v>
      </c>
      <c r="C8" s="25" t="s">
        <v>194</v>
      </c>
      <c r="D8" s="24" t="s">
        <v>222</v>
      </c>
      <c r="F8" s="235" t="s">
        <v>211</v>
      </c>
      <c r="G8" s="236"/>
      <c r="H8" s="236"/>
      <c r="I8" s="236"/>
      <c r="J8" s="236"/>
      <c r="K8" s="236"/>
      <c r="L8" s="236"/>
      <c r="M8" s="237"/>
    </row>
    <row r="9" spans="1:14" ht="30" x14ac:dyDescent="0.25">
      <c r="A9" s="24">
        <v>4</v>
      </c>
      <c r="B9" s="24" t="s">
        <v>123</v>
      </c>
      <c r="C9" s="25" t="s">
        <v>195</v>
      </c>
      <c r="D9" s="24" t="s">
        <v>223</v>
      </c>
      <c r="F9" s="62"/>
      <c r="G9" s="61"/>
      <c r="H9" s="61"/>
      <c r="I9" s="61"/>
      <c r="J9" s="61"/>
      <c r="K9" s="61"/>
      <c r="L9" s="61"/>
      <c r="M9" s="60"/>
    </row>
    <row r="10" spans="1:14" x14ac:dyDescent="0.25">
      <c r="A10" s="24">
        <v>3</v>
      </c>
      <c r="B10" s="24" t="s">
        <v>124</v>
      </c>
      <c r="C10" s="25" t="s">
        <v>196</v>
      </c>
      <c r="D10" s="24" t="s">
        <v>227</v>
      </c>
      <c r="F10" s="57"/>
      <c r="G10" s="32"/>
      <c r="H10" s="32"/>
      <c r="I10" s="32"/>
      <c r="J10" s="32"/>
      <c r="K10" s="32"/>
      <c r="L10" s="32"/>
      <c r="M10" s="56"/>
    </row>
    <row r="11" spans="1:14" x14ac:dyDescent="0.25">
      <c r="A11" s="24">
        <v>2</v>
      </c>
      <c r="B11" s="24" t="s">
        <v>125</v>
      </c>
      <c r="C11" s="25" t="s">
        <v>197</v>
      </c>
      <c r="D11" s="24" t="s">
        <v>224</v>
      </c>
      <c r="F11" s="57"/>
      <c r="G11" s="32"/>
      <c r="H11" s="32"/>
      <c r="I11" s="32"/>
      <c r="J11" s="32"/>
      <c r="K11" s="32"/>
      <c r="L11" s="32"/>
      <c r="M11" s="56"/>
    </row>
    <row r="12" spans="1:14" ht="30" x14ac:dyDescent="0.25">
      <c r="A12" s="24">
        <v>1</v>
      </c>
      <c r="B12" s="24" t="s">
        <v>127</v>
      </c>
      <c r="C12" s="26" t="s">
        <v>198</v>
      </c>
      <c r="D12" s="24" t="s">
        <v>225</v>
      </c>
      <c r="F12" s="57"/>
      <c r="G12" s="32"/>
      <c r="H12" s="32"/>
      <c r="I12" s="32"/>
      <c r="J12" s="32"/>
      <c r="K12" s="32"/>
      <c r="L12" s="32"/>
      <c r="M12" s="56"/>
    </row>
    <row r="13" spans="1:14" x14ac:dyDescent="0.25">
      <c r="F13" s="57"/>
      <c r="G13" s="32"/>
      <c r="H13" s="32"/>
      <c r="I13" s="32"/>
      <c r="J13" s="32"/>
      <c r="K13" s="32"/>
      <c r="L13" s="32"/>
      <c r="M13" s="56"/>
    </row>
    <row r="14" spans="1:14" x14ac:dyDescent="0.25">
      <c r="F14" s="57"/>
      <c r="G14" s="32"/>
      <c r="H14" s="32"/>
      <c r="I14" s="32"/>
      <c r="J14" s="32"/>
      <c r="K14" s="32"/>
      <c r="L14" s="32"/>
      <c r="M14" s="56"/>
    </row>
    <row r="15" spans="1:14" ht="15" customHeight="1" x14ac:dyDescent="0.25">
      <c r="A15" s="220" t="s">
        <v>170</v>
      </c>
      <c r="B15" s="220"/>
      <c r="C15" s="220"/>
      <c r="D15" s="220"/>
      <c r="E15" s="59"/>
      <c r="F15" s="58"/>
      <c r="G15" s="32"/>
      <c r="H15" s="32"/>
      <c r="I15" s="32"/>
      <c r="J15" s="32"/>
      <c r="K15" s="32"/>
      <c r="L15" s="32"/>
      <c r="M15" s="56"/>
    </row>
    <row r="16" spans="1:14" x14ac:dyDescent="0.25">
      <c r="F16" s="57"/>
      <c r="G16" s="32"/>
      <c r="H16" s="32"/>
      <c r="I16" s="32"/>
      <c r="J16" s="32"/>
      <c r="K16" s="32"/>
      <c r="L16" s="32"/>
      <c r="M16" s="56"/>
    </row>
    <row r="17" spans="1:13" x14ac:dyDescent="0.25">
      <c r="A17" s="24" t="s">
        <v>120</v>
      </c>
      <c r="B17" s="24" t="s">
        <v>121</v>
      </c>
      <c r="C17" s="24" t="s">
        <v>174</v>
      </c>
      <c r="D17" s="24" t="s">
        <v>175</v>
      </c>
      <c r="F17" s="57"/>
      <c r="G17" s="32"/>
      <c r="H17" s="32"/>
      <c r="I17" s="32"/>
      <c r="J17" s="32"/>
      <c r="K17" s="32"/>
      <c r="L17" s="32"/>
      <c r="M17" s="56"/>
    </row>
    <row r="18" spans="1:13" ht="204" customHeight="1" thickBot="1" x14ac:dyDescent="0.3">
      <c r="A18" s="38">
        <v>5</v>
      </c>
      <c r="B18" s="38" t="s">
        <v>171</v>
      </c>
      <c r="C18" s="52" t="s">
        <v>210</v>
      </c>
      <c r="D18" s="45" t="s">
        <v>212</v>
      </c>
      <c r="F18" s="55"/>
      <c r="G18" s="54"/>
      <c r="H18" s="54"/>
      <c r="I18" s="54"/>
      <c r="J18" s="54"/>
      <c r="K18" s="54"/>
      <c r="L18" s="54"/>
      <c r="M18" s="53"/>
    </row>
    <row r="19" spans="1:13" ht="234.75" customHeight="1" x14ac:dyDescent="0.25">
      <c r="A19" s="38">
        <v>4</v>
      </c>
      <c r="B19" s="38" t="s">
        <v>164</v>
      </c>
      <c r="C19" s="52" t="s">
        <v>213</v>
      </c>
      <c r="D19" s="25" t="s">
        <v>209</v>
      </c>
    </row>
    <row r="20" spans="1:13" ht="228" customHeight="1" x14ac:dyDescent="0.25">
      <c r="A20" s="38">
        <v>3</v>
      </c>
      <c r="B20" s="38" t="s">
        <v>84</v>
      </c>
      <c r="C20" s="52" t="s">
        <v>214</v>
      </c>
      <c r="D20" s="45" t="s">
        <v>208</v>
      </c>
    </row>
    <row r="21" spans="1:13" ht="228" customHeight="1" x14ac:dyDescent="0.25">
      <c r="A21" s="38">
        <v>2</v>
      </c>
      <c r="B21" s="38" t="s">
        <v>172</v>
      </c>
      <c r="C21" s="52" t="s">
        <v>215</v>
      </c>
      <c r="D21" s="45" t="s">
        <v>207</v>
      </c>
    </row>
    <row r="22" spans="1:13" ht="195" customHeight="1" x14ac:dyDescent="0.25">
      <c r="A22" s="38">
        <v>1</v>
      </c>
      <c r="B22" s="38" t="s">
        <v>173</v>
      </c>
      <c r="C22" s="52" t="s">
        <v>206</v>
      </c>
      <c r="D22" s="45" t="s">
        <v>205</v>
      </c>
    </row>
    <row r="23" spans="1:13" x14ac:dyDescent="0.25">
      <c r="C23" s="51"/>
      <c r="D23" s="51"/>
    </row>
    <row r="24" spans="1:13" ht="28.5" customHeight="1" x14ac:dyDescent="0.25"/>
    <row r="27" spans="1:13" ht="29.25" customHeight="1" x14ac:dyDescent="0.25"/>
    <row r="28" spans="1:13" ht="38.25" customHeight="1" x14ac:dyDescent="0.25"/>
    <row r="29" spans="1:13" ht="29.25" customHeight="1" x14ac:dyDescent="0.25"/>
    <row r="36" ht="29.25" customHeight="1" x14ac:dyDescent="0.25"/>
    <row r="37" ht="35.25" customHeight="1" x14ac:dyDescent="0.25"/>
    <row r="38" ht="31.5" customHeight="1" x14ac:dyDescent="0.25"/>
    <row r="40" ht="89.25" customHeight="1" x14ac:dyDescent="0.25"/>
  </sheetData>
  <mergeCells count="9">
    <mergeCell ref="F8:M8"/>
    <mergeCell ref="A15:D15"/>
    <mergeCell ref="A5:F5"/>
    <mergeCell ref="A1:B3"/>
    <mergeCell ref="C1:K1"/>
    <mergeCell ref="L1:N1"/>
    <mergeCell ref="C2:K3"/>
    <mergeCell ref="L2:N2"/>
    <mergeCell ref="L3:N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activeCell="E16" sqref="E16"/>
    </sheetView>
  </sheetViews>
  <sheetFormatPr baseColWidth="10" defaultRowHeight="15" x14ac:dyDescent="0.25"/>
  <cols>
    <col min="1" max="1" width="39.140625" style="23" customWidth="1"/>
    <col min="2" max="2" width="37.5703125" customWidth="1"/>
    <col min="3" max="3" width="20.85546875" customWidth="1"/>
    <col min="4" max="4" width="28.7109375" bestFit="1" customWidth="1"/>
    <col min="5" max="5" width="27.28515625" customWidth="1"/>
    <col min="6" max="7" width="16.42578125" customWidth="1"/>
    <col min="8" max="8" width="15" bestFit="1" customWidth="1"/>
    <col min="9" max="9" width="23.28515625" bestFit="1" customWidth="1"/>
    <col min="10" max="10" width="11" bestFit="1" customWidth="1"/>
    <col min="11" max="11" width="5.85546875" bestFit="1" customWidth="1"/>
    <col min="12" max="12" width="11.7109375" bestFit="1" customWidth="1"/>
    <col min="13" max="13" width="5.85546875" bestFit="1" customWidth="1"/>
    <col min="14" max="14" width="10.85546875" bestFit="1" customWidth="1"/>
    <col min="15" max="15" width="5.85546875" bestFit="1" customWidth="1"/>
    <col min="16" max="16" width="12.28515625" bestFit="1" customWidth="1"/>
    <col min="17" max="17" width="5.85546875" bestFit="1" customWidth="1"/>
    <col min="18" max="18" width="12.140625" bestFit="1" customWidth="1"/>
    <col min="19" max="19" width="5.85546875" bestFit="1" customWidth="1"/>
    <col min="20" max="20" width="24.140625" bestFit="1" customWidth="1"/>
  </cols>
  <sheetData>
    <row r="1" spans="1:20" x14ac:dyDescent="0.25">
      <c r="A1" s="40" t="s">
        <v>6</v>
      </c>
      <c r="D1" s="41" t="s">
        <v>19</v>
      </c>
      <c r="F1" s="41" t="s">
        <v>20</v>
      </c>
      <c r="G1" s="41" t="s">
        <v>21</v>
      </c>
      <c r="I1" s="41" t="s">
        <v>13</v>
      </c>
      <c r="J1" s="238" t="s">
        <v>22</v>
      </c>
      <c r="K1" s="239"/>
      <c r="L1" s="239"/>
      <c r="M1" s="239"/>
      <c r="N1" s="239"/>
      <c r="O1" s="239"/>
      <c r="P1" s="239"/>
      <c r="Q1" s="239"/>
      <c r="R1" s="239"/>
      <c r="S1" s="239"/>
      <c r="T1" s="1" t="s">
        <v>40</v>
      </c>
    </row>
    <row r="2" spans="1:20" x14ac:dyDescent="0.25">
      <c r="A2" s="39" t="s">
        <v>134</v>
      </c>
      <c r="D2" s="38" t="s">
        <v>181</v>
      </c>
      <c r="F2" s="24">
        <v>1</v>
      </c>
      <c r="G2" s="24">
        <v>1</v>
      </c>
      <c r="I2" s="24" t="s">
        <v>32</v>
      </c>
      <c r="J2" s="43" t="s">
        <v>23</v>
      </c>
      <c r="K2" s="1" t="s">
        <v>31</v>
      </c>
      <c r="L2" s="1" t="s">
        <v>24</v>
      </c>
      <c r="M2" s="1" t="s">
        <v>31</v>
      </c>
      <c r="N2" s="1" t="s">
        <v>28</v>
      </c>
      <c r="O2" s="1" t="s">
        <v>31</v>
      </c>
      <c r="P2" s="1" t="s">
        <v>29</v>
      </c>
      <c r="Q2" s="1" t="s">
        <v>31</v>
      </c>
      <c r="R2" s="1" t="s">
        <v>13</v>
      </c>
      <c r="S2" s="1" t="s">
        <v>31</v>
      </c>
      <c r="T2" s="27" t="s">
        <v>41</v>
      </c>
    </row>
    <row r="3" spans="1:20" x14ac:dyDescent="0.25">
      <c r="A3" s="39" t="s">
        <v>135</v>
      </c>
      <c r="D3" s="38" t="s">
        <v>4</v>
      </c>
      <c r="F3" s="24">
        <v>2</v>
      </c>
      <c r="G3" s="24">
        <v>2</v>
      </c>
      <c r="I3" s="24" t="s">
        <v>33</v>
      </c>
      <c r="J3" s="44" t="s">
        <v>1</v>
      </c>
      <c r="K3" s="6">
        <v>20</v>
      </c>
      <c r="L3" s="6" t="s">
        <v>25</v>
      </c>
      <c r="M3" s="6">
        <v>20</v>
      </c>
      <c r="N3" s="6" t="s">
        <v>1</v>
      </c>
      <c r="O3" s="6">
        <v>20</v>
      </c>
      <c r="P3" s="6" t="s">
        <v>1</v>
      </c>
      <c r="Q3" s="6">
        <v>20</v>
      </c>
      <c r="R3" s="6" t="s">
        <v>1</v>
      </c>
      <c r="S3" s="6">
        <v>20</v>
      </c>
      <c r="T3" s="28" t="s">
        <v>42</v>
      </c>
    </row>
    <row r="4" spans="1:20" ht="30" x14ac:dyDescent="0.25">
      <c r="A4" s="39" t="s">
        <v>136</v>
      </c>
      <c r="D4" s="38" t="s">
        <v>5</v>
      </c>
      <c r="F4" s="24">
        <v>3</v>
      </c>
      <c r="G4" s="24">
        <v>3</v>
      </c>
      <c r="I4" s="24" t="s">
        <v>34</v>
      </c>
      <c r="J4" s="44" t="s">
        <v>2</v>
      </c>
      <c r="K4" s="6">
        <v>0</v>
      </c>
      <c r="L4" s="6" t="s">
        <v>26</v>
      </c>
      <c r="M4" s="6">
        <v>10</v>
      </c>
      <c r="N4" s="6" t="s">
        <v>2</v>
      </c>
      <c r="O4" s="6">
        <v>0</v>
      </c>
      <c r="P4" s="6" t="s">
        <v>2</v>
      </c>
      <c r="Q4" s="6">
        <v>0</v>
      </c>
      <c r="R4" s="6" t="s">
        <v>2</v>
      </c>
      <c r="S4" s="6">
        <v>0</v>
      </c>
      <c r="T4" s="28" t="s">
        <v>43</v>
      </c>
    </row>
    <row r="5" spans="1:20" x14ac:dyDescent="0.25">
      <c r="A5" s="39" t="s">
        <v>137</v>
      </c>
      <c r="D5" s="38" t="s">
        <v>17</v>
      </c>
      <c r="F5" s="24">
        <v>4</v>
      </c>
      <c r="G5" s="24">
        <v>4</v>
      </c>
      <c r="I5" s="24" t="s">
        <v>35</v>
      </c>
      <c r="J5" s="44"/>
      <c r="K5" s="6"/>
      <c r="L5" s="6" t="s">
        <v>27</v>
      </c>
      <c r="M5" s="6">
        <v>0</v>
      </c>
      <c r="N5" s="6"/>
      <c r="O5" s="6"/>
      <c r="P5" s="6"/>
      <c r="Q5" s="6"/>
      <c r="R5" s="6"/>
      <c r="S5" s="6"/>
      <c r="T5" s="28" t="s">
        <v>44</v>
      </c>
    </row>
    <row r="6" spans="1:20" ht="30" x14ac:dyDescent="0.25">
      <c r="A6" s="39" t="s">
        <v>219</v>
      </c>
      <c r="D6" s="38" t="s">
        <v>96</v>
      </c>
      <c r="F6" s="24">
        <v>5</v>
      </c>
      <c r="G6" s="24">
        <v>5</v>
      </c>
      <c r="I6" s="24" t="s">
        <v>36</v>
      </c>
    </row>
    <row r="7" spans="1:20" x14ac:dyDescent="0.25">
      <c r="A7" s="39" t="s">
        <v>220</v>
      </c>
      <c r="D7" s="38" t="s">
        <v>97</v>
      </c>
      <c r="I7" s="24" t="s">
        <v>37</v>
      </c>
    </row>
    <row r="8" spans="1:20" x14ac:dyDescent="0.25">
      <c r="A8" s="39" t="s">
        <v>138</v>
      </c>
      <c r="D8" s="38" t="s">
        <v>18</v>
      </c>
      <c r="F8" s="41" t="s">
        <v>9</v>
      </c>
      <c r="I8" s="24" t="s">
        <v>38</v>
      </c>
    </row>
    <row r="9" spans="1:20" x14ac:dyDescent="0.25">
      <c r="A9" s="39" t="s">
        <v>139</v>
      </c>
      <c r="D9" s="38" t="s">
        <v>130</v>
      </c>
      <c r="F9" s="24" t="s">
        <v>0</v>
      </c>
    </row>
    <row r="10" spans="1:20" x14ac:dyDescent="0.25">
      <c r="A10" s="39" t="s">
        <v>140</v>
      </c>
      <c r="D10" s="38" t="s">
        <v>98</v>
      </c>
      <c r="F10" s="24" t="s">
        <v>100</v>
      </c>
    </row>
    <row r="11" spans="1:20" x14ac:dyDescent="0.25">
      <c r="A11" s="39" t="s">
        <v>141</v>
      </c>
      <c r="D11" s="38" t="s">
        <v>99</v>
      </c>
    </row>
    <row r="12" spans="1:20" x14ac:dyDescent="0.25">
      <c r="A12" s="39" t="s">
        <v>142</v>
      </c>
    </row>
    <row r="13" spans="1:20" x14ac:dyDescent="0.25">
      <c r="A13" s="39" t="s">
        <v>143</v>
      </c>
    </row>
    <row r="14" spans="1:20" x14ac:dyDescent="0.25">
      <c r="A14" s="39" t="s">
        <v>144</v>
      </c>
    </row>
    <row r="15" spans="1:20" x14ac:dyDescent="0.25">
      <c r="A15" s="39" t="s">
        <v>184</v>
      </c>
    </row>
    <row r="16" spans="1:20" x14ac:dyDescent="0.25">
      <c r="A16" s="39" t="s">
        <v>185</v>
      </c>
    </row>
    <row r="19" spans="1:5" x14ac:dyDescent="0.25">
      <c r="A19" s="240" t="s">
        <v>49</v>
      </c>
      <c r="B19" s="240"/>
      <c r="D19" s="42" t="s">
        <v>109</v>
      </c>
    </row>
    <row r="20" spans="1:5" x14ac:dyDescent="0.25">
      <c r="A20" s="1" t="s">
        <v>50</v>
      </c>
      <c r="B20" s="1" t="s">
        <v>51</v>
      </c>
      <c r="C20" s="46"/>
      <c r="D20" s="24" t="s">
        <v>110</v>
      </c>
    </row>
    <row r="21" spans="1:5" x14ac:dyDescent="0.25">
      <c r="A21" s="2" t="s">
        <v>104</v>
      </c>
      <c r="B21" s="2" t="s">
        <v>108</v>
      </c>
      <c r="C21" s="47"/>
      <c r="D21" s="24" t="s">
        <v>111</v>
      </c>
    </row>
    <row r="22" spans="1:5" x14ac:dyDescent="0.25">
      <c r="A22" s="2" t="s">
        <v>105</v>
      </c>
      <c r="B22" s="2" t="s">
        <v>57</v>
      </c>
      <c r="C22" s="47"/>
      <c r="D22" s="24" t="s">
        <v>112</v>
      </c>
    </row>
    <row r="23" spans="1:5" x14ac:dyDescent="0.25">
      <c r="A23" s="2" t="s">
        <v>106</v>
      </c>
      <c r="B23" s="2" t="s">
        <v>55</v>
      </c>
      <c r="C23" s="47"/>
      <c r="D23" s="24" t="s">
        <v>113</v>
      </c>
    </row>
    <row r="24" spans="1:5" x14ac:dyDescent="0.25">
      <c r="A24" s="2" t="s">
        <v>17</v>
      </c>
      <c r="B24" s="3" t="s">
        <v>58</v>
      </c>
      <c r="C24" s="48"/>
      <c r="D24" s="24" t="s">
        <v>216</v>
      </c>
    </row>
    <row r="25" spans="1:5" x14ac:dyDescent="0.25">
      <c r="A25" s="2" t="s">
        <v>107</v>
      </c>
      <c r="B25" s="2" t="s">
        <v>56</v>
      </c>
      <c r="C25" s="47"/>
    </row>
    <row r="26" spans="1:5" x14ac:dyDescent="0.25">
      <c r="A26" s="2" t="s">
        <v>180</v>
      </c>
      <c r="B26" s="2" t="s">
        <v>59</v>
      </c>
      <c r="C26" s="47"/>
    </row>
    <row r="29" spans="1:5" ht="28.5" customHeight="1" x14ac:dyDescent="0.25">
      <c r="A29" s="241"/>
      <c r="B29" s="241"/>
      <c r="C29" s="241"/>
      <c r="D29" s="241"/>
      <c r="E29" s="241"/>
    </row>
    <row r="30" spans="1:5" ht="30" customHeight="1" x14ac:dyDescent="0.25">
      <c r="A30" s="216" t="s">
        <v>62</v>
      </c>
      <c r="B30" s="20" t="s">
        <v>145</v>
      </c>
      <c r="C30" s="19">
        <v>15</v>
      </c>
    </row>
    <row r="31" spans="1:5" x14ac:dyDescent="0.25">
      <c r="A31" s="217"/>
      <c r="B31" s="31" t="s">
        <v>69</v>
      </c>
      <c r="C31" s="30">
        <v>0</v>
      </c>
    </row>
    <row r="32" spans="1:5" ht="45" customHeight="1" x14ac:dyDescent="0.25">
      <c r="A32" s="216" t="s">
        <v>63</v>
      </c>
      <c r="B32" s="20" t="s">
        <v>70</v>
      </c>
      <c r="C32" s="19">
        <v>15</v>
      </c>
    </row>
    <row r="33" spans="1:4" x14ac:dyDescent="0.25">
      <c r="A33" s="217"/>
      <c r="B33" s="31" t="s">
        <v>71</v>
      </c>
      <c r="C33" s="30">
        <v>0</v>
      </c>
    </row>
    <row r="34" spans="1:4" ht="75" customHeight="1" x14ac:dyDescent="0.25">
      <c r="A34" s="216" t="s">
        <v>64</v>
      </c>
      <c r="B34" s="20" t="s">
        <v>72</v>
      </c>
      <c r="C34" s="19">
        <v>15</v>
      </c>
    </row>
    <row r="35" spans="1:4" x14ac:dyDescent="0.25">
      <c r="A35" s="217"/>
      <c r="B35" s="31" t="s">
        <v>73</v>
      </c>
      <c r="C35" s="30">
        <v>0</v>
      </c>
    </row>
    <row r="36" spans="1:4" ht="75" customHeight="1" x14ac:dyDescent="0.25">
      <c r="A36" s="216" t="s">
        <v>65</v>
      </c>
      <c r="B36" s="20" t="s">
        <v>80</v>
      </c>
      <c r="C36" s="20">
        <v>15</v>
      </c>
    </row>
    <row r="37" spans="1:4" x14ac:dyDescent="0.25">
      <c r="A37" s="242"/>
      <c r="B37" s="31" t="s">
        <v>81</v>
      </c>
      <c r="C37" s="31">
        <v>10</v>
      </c>
    </row>
    <row r="38" spans="1:4" x14ac:dyDescent="0.25">
      <c r="A38" s="217"/>
      <c r="B38" s="31" t="s">
        <v>74</v>
      </c>
      <c r="C38" s="31">
        <v>0</v>
      </c>
    </row>
    <row r="39" spans="1:4" ht="60" customHeight="1" x14ac:dyDescent="0.25">
      <c r="A39" s="216" t="s">
        <v>66</v>
      </c>
      <c r="B39" s="20" t="s">
        <v>75</v>
      </c>
      <c r="C39" s="19">
        <v>15</v>
      </c>
    </row>
    <row r="40" spans="1:4" x14ac:dyDescent="0.25">
      <c r="A40" s="217"/>
      <c r="B40" s="31" t="s">
        <v>76</v>
      </c>
      <c r="C40" s="30">
        <v>0</v>
      </c>
    </row>
    <row r="41" spans="1:4" ht="75" customHeight="1" x14ac:dyDescent="0.25">
      <c r="A41" s="216" t="s">
        <v>67</v>
      </c>
      <c r="B41" s="20" t="s">
        <v>77</v>
      </c>
      <c r="C41" s="19">
        <v>15</v>
      </c>
    </row>
    <row r="42" spans="1:4" ht="28.5" x14ac:dyDescent="0.25">
      <c r="A42" s="217"/>
      <c r="B42" s="31" t="s">
        <v>78</v>
      </c>
      <c r="C42" s="30">
        <v>0</v>
      </c>
    </row>
    <row r="43" spans="1:4" ht="60" customHeight="1" x14ac:dyDescent="0.25">
      <c r="A43" s="216" t="s">
        <v>68</v>
      </c>
      <c r="B43" s="20" t="s">
        <v>79</v>
      </c>
      <c r="C43" s="19">
        <v>10</v>
      </c>
    </row>
    <row r="44" spans="1:4" x14ac:dyDescent="0.25">
      <c r="A44" s="242"/>
      <c r="B44" s="31" t="s">
        <v>82</v>
      </c>
      <c r="C44" s="30">
        <v>5</v>
      </c>
    </row>
    <row r="45" spans="1:4" x14ac:dyDescent="0.25">
      <c r="A45" s="217"/>
      <c r="B45" s="31" t="s">
        <v>83</v>
      </c>
      <c r="C45" s="30">
        <v>0</v>
      </c>
    </row>
    <row r="46" spans="1:4" ht="30" x14ac:dyDescent="0.25">
      <c r="A46" s="21" t="s">
        <v>90</v>
      </c>
      <c r="B46" s="20" t="s">
        <v>187</v>
      </c>
      <c r="C46" s="20" t="s">
        <v>188</v>
      </c>
      <c r="D46" s="49" t="s">
        <v>189</v>
      </c>
    </row>
  </sheetData>
  <mergeCells count="10">
    <mergeCell ref="A43:A45"/>
    <mergeCell ref="A41:A42"/>
    <mergeCell ref="A39:A40"/>
    <mergeCell ref="A36:A38"/>
    <mergeCell ref="A34:A35"/>
    <mergeCell ref="J1:S1"/>
    <mergeCell ref="A19:B19"/>
    <mergeCell ref="A29:E29"/>
    <mergeCell ref="A32:A33"/>
    <mergeCell ref="A30:A31"/>
  </mergeCells>
  <dataValidations count="1">
    <dataValidation allowBlank="1" showInputMessage="1" showErrorMessage="1" prompt="Se incluyó a partír de la Guía de riesgos borrador del DAFP" sqref="A3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3.xml><?xml version="1.0" encoding="utf-8"?>
<ds:datastoreItem xmlns:ds="http://schemas.openxmlformats.org/officeDocument/2006/customXml" ds:itemID="{FE8C3ECA-5554-47EC-BD71-EAF7C121366E}">
  <ds:schemaRefs>
    <ds:schemaRef ds:uri="http://schemas.microsoft.com/office/2006/documentManagement/types"/>
    <ds:schemaRef ds:uri="http://schemas.openxmlformats.org/package/2006/metadata/core-properties"/>
    <ds:schemaRef ds:uri="http://purl.org/dc/dcmitype/"/>
    <ds:schemaRef ds:uri="b88267a5-0852-4714-9a11-4aa7c350c1c2"/>
    <ds:schemaRef ds:uri="http://schemas.microsoft.com/office/2006/metadata/properties"/>
    <ds:schemaRef ds:uri="http://purl.org/dc/elements/1.1/"/>
    <ds:schemaRef ds:uri="http://purl.org/dc/terms/"/>
    <ds:schemaRef ds:uri="http://schemas.microsoft.com/office/infopath/2007/PartnerControls"/>
    <ds:schemaRef ds:uri="2e1b66e6-84d5-4201-88fb-3f6ff4bcf67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Mapa de Riesgo_Proceso</vt:lpstr>
      <vt:lpstr>M1. Cal_Probab_Impac_Gestion</vt:lpstr>
      <vt:lpstr>M2.Cal_Prob_Impacto_Corrupc</vt:lpstr>
      <vt:lpstr>M3. Cal_Probab_Impac_Seguri</vt:lpstr>
      <vt:lpstr>Listas</vt:lpstr>
      <vt:lpstr>'Mapa de Riesgo_Proceso'!Títulos_a_imprimir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LISBETH AGUIRRE CARRANZA</cp:lastModifiedBy>
  <cp:lastPrinted>2016-05-10T19:22:49Z</cp:lastPrinted>
  <dcterms:created xsi:type="dcterms:W3CDTF">2014-03-06T13:40:48Z</dcterms:created>
  <dcterms:modified xsi:type="dcterms:W3CDTF">2020-12-17T16:29:16Z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