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8_{9DBC563B-40E0-4660-AC15-84A0503D79AD}" xr6:coauthVersionLast="47" xr6:coauthVersionMax="47" xr10:uidLastSave="{00000000-0000-0000-0000-000000000000}"/>
  <bookViews>
    <workbookView xWindow="-108" yWindow="-108" windowWidth="23256" windowHeight="12576" tabRatio="840" xr2:uid="{00000000-000D-0000-FFFF-FFFF00000000}"/>
  </bookViews>
  <sheets>
    <sheet name="Corrupción" sheetId="14" r:id="rId1"/>
    <sheet name="Listas" sheetId="18"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Titles" localSheetId="0">Corrupción!$1:$10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6" i="14" l="1"/>
  <c r="AC46" i="14"/>
  <c r="AA46" i="14"/>
  <c r="Y46" i="14"/>
  <c r="W46" i="14"/>
  <c r="U46" i="14"/>
  <c r="S46" i="14"/>
  <c r="AE45" i="14"/>
  <c r="AC45" i="14"/>
  <c r="AA45" i="14"/>
  <c r="Y45" i="14"/>
  <c r="W45" i="14"/>
  <c r="U45" i="14"/>
  <c r="S45" i="14"/>
  <c r="AE44" i="14"/>
  <c r="AC44" i="14"/>
  <c r="AA44" i="14"/>
  <c r="Y44" i="14"/>
  <c r="W44" i="14"/>
  <c r="U44" i="14"/>
  <c r="S44" i="14"/>
  <c r="AE43" i="14"/>
  <c r="AC43" i="14"/>
  <c r="AA43" i="14"/>
  <c r="Y43" i="14"/>
  <c r="W43" i="14"/>
  <c r="U43" i="14"/>
  <c r="S43" i="14"/>
  <c r="AK42" i="14"/>
  <c r="AJ42" i="14"/>
  <c r="AE42" i="14"/>
  <c r="AC42" i="14"/>
  <c r="AA42" i="14"/>
  <c r="Y42" i="14"/>
  <c r="W42" i="14"/>
  <c r="U42" i="14"/>
  <c r="S42" i="14"/>
  <c r="M42" i="14"/>
  <c r="L42" i="14"/>
  <c r="AE41" i="14"/>
  <c r="AC41" i="14"/>
  <c r="AA41" i="14"/>
  <c r="Y41" i="14"/>
  <c r="W41" i="14"/>
  <c r="U41" i="14"/>
  <c r="S41" i="14"/>
  <c r="AE40" i="14"/>
  <c r="AC40" i="14"/>
  <c r="AA40" i="14"/>
  <c r="Y40" i="14"/>
  <c r="W40" i="14"/>
  <c r="U40" i="14"/>
  <c r="S40" i="14"/>
  <c r="AE39" i="14"/>
  <c r="AC39" i="14"/>
  <c r="AA39" i="14"/>
  <c r="Y39" i="14"/>
  <c r="W39" i="14"/>
  <c r="U39" i="14"/>
  <c r="S39" i="14"/>
  <c r="AF46" i="14" l="1"/>
  <c r="AF45" i="14"/>
  <c r="AF44" i="14"/>
  <c r="AF42" i="14"/>
  <c r="AF43" i="14"/>
  <c r="AF41" i="14"/>
  <c r="AF40" i="14"/>
  <c r="AF39" i="14"/>
  <c r="AG42" i="14" l="1"/>
  <c r="AE37" i="14" l="1"/>
  <c r="AC37" i="14"/>
  <c r="AA37" i="14"/>
  <c r="Y37" i="14"/>
  <c r="W37" i="14"/>
  <c r="U37" i="14"/>
  <c r="S37" i="14"/>
  <c r="AE36" i="14"/>
  <c r="AC36" i="14"/>
  <c r="AA36" i="14"/>
  <c r="Y36" i="14"/>
  <c r="W36" i="14"/>
  <c r="U36" i="14"/>
  <c r="S36" i="14"/>
  <c r="AK35" i="14"/>
  <c r="AJ35" i="14"/>
  <c r="AE35" i="14"/>
  <c r="AC35" i="14"/>
  <c r="AA35" i="14"/>
  <c r="Y35" i="14"/>
  <c r="W35" i="14"/>
  <c r="U35" i="14"/>
  <c r="S35" i="14"/>
  <c r="M35" i="14"/>
  <c r="L35" i="14"/>
  <c r="AF37" i="14" l="1"/>
  <c r="AF35" i="14"/>
  <c r="AF36" i="14"/>
  <c r="AG35" i="14" l="1"/>
  <c r="AK33" i="14" l="1"/>
  <c r="AJ33" i="14"/>
  <c r="AE33" i="14"/>
  <c r="AC33" i="14"/>
  <c r="AA33" i="14"/>
  <c r="Y33" i="14"/>
  <c r="W33" i="14"/>
  <c r="U33" i="14"/>
  <c r="S33" i="14"/>
  <c r="M33" i="14"/>
  <c r="L33" i="14"/>
  <c r="AE32" i="14"/>
  <c r="AC32" i="14"/>
  <c r="AA32" i="14"/>
  <c r="Y32" i="14"/>
  <c r="W32" i="14"/>
  <c r="U32" i="14"/>
  <c r="S32" i="14"/>
  <c r="AK31" i="14"/>
  <c r="AJ31" i="14"/>
  <c r="AE31" i="14"/>
  <c r="AC31" i="14"/>
  <c r="AA31" i="14"/>
  <c r="Y31" i="14"/>
  <c r="W31" i="14"/>
  <c r="U31" i="14"/>
  <c r="S31" i="14"/>
  <c r="M31" i="14"/>
  <c r="L31" i="14"/>
  <c r="AF31" i="14" l="1"/>
  <c r="AF33" i="14"/>
  <c r="AG33" i="14" s="1"/>
  <c r="AF32" i="14"/>
  <c r="AG31" i="14" l="1"/>
  <c r="AK30" i="14"/>
  <c r="AJ30" i="14"/>
  <c r="AE30" i="14"/>
  <c r="AC30" i="14"/>
  <c r="AA30" i="14"/>
  <c r="Y30" i="14"/>
  <c r="W30" i="14"/>
  <c r="U30" i="14"/>
  <c r="S30" i="14"/>
  <c r="M30" i="14"/>
  <c r="L30" i="14"/>
  <c r="AK29" i="14"/>
  <c r="AJ29" i="14"/>
  <c r="AE29" i="14"/>
  <c r="AC29" i="14"/>
  <c r="AA29" i="14"/>
  <c r="Y29" i="14"/>
  <c r="W29" i="14"/>
  <c r="U29" i="14"/>
  <c r="S29" i="14"/>
  <c r="M29" i="14"/>
  <c r="L29" i="14"/>
  <c r="AF30" i="14" l="1"/>
  <c r="AG30" i="14" s="1"/>
  <c r="AF29" i="14"/>
  <c r="AG29" i="14" s="1"/>
  <c r="AK28" i="14"/>
  <c r="AJ28" i="14"/>
  <c r="AE28" i="14"/>
  <c r="AC28" i="14"/>
  <c r="AA28" i="14"/>
  <c r="Y28" i="14"/>
  <c r="W28" i="14"/>
  <c r="U28" i="14"/>
  <c r="S28" i="14"/>
  <c r="M28" i="14"/>
  <c r="L28" i="14"/>
  <c r="AF28" i="14" l="1"/>
  <c r="AG28" i="14" s="1"/>
  <c r="AK27" i="14"/>
  <c r="AJ27" i="14"/>
  <c r="AE27" i="14"/>
  <c r="AC27" i="14"/>
  <c r="AA27" i="14"/>
  <c r="Y27" i="14"/>
  <c r="W27" i="14"/>
  <c r="U27" i="14"/>
  <c r="S27" i="14"/>
  <c r="M27" i="14"/>
  <c r="L27" i="14"/>
  <c r="AK26" i="14"/>
  <c r="AJ26" i="14"/>
  <c r="AE26" i="14"/>
  <c r="AC26" i="14"/>
  <c r="AA26" i="14"/>
  <c r="Y26" i="14"/>
  <c r="W26" i="14"/>
  <c r="U26" i="14"/>
  <c r="S26" i="14"/>
  <c r="M26" i="14"/>
  <c r="L26" i="14"/>
  <c r="AF26" i="14" l="1"/>
  <c r="AG26" i="14" s="1"/>
  <c r="AF27" i="14"/>
  <c r="AG27" i="14" s="1"/>
  <c r="AK22" i="14" l="1"/>
  <c r="AJ22" i="14"/>
  <c r="AE22" i="14"/>
  <c r="AC22" i="14"/>
  <c r="AA22" i="14"/>
  <c r="Y22" i="14"/>
  <c r="W22" i="14"/>
  <c r="U22" i="14"/>
  <c r="S22" i="14"/>
  <c r="M22" i="14"/>
  <c r="L22" i="14"/>
  <c r="AF22" i="14" l="1"/>
  <c r="AG22" i="14" s="1"/>
  <c r="AK20" i="14"/>
  <c r="AJ20" i="14"/>
  <c r="AE20" i="14"/>
  <c r="AC20" i="14"/>
  <c r="AA20" i="14"/>
  <c r="Y20" i="14"/>
  <c r="W20" i="14"/>
  <c r="U20" i="14"/>
  <c r="S20" i="14"/>
  <c r="M20" i="14"/>
  <c r="L20" i="14"/>
  <c r="AF20" i="14" l="1"/>
  <c r="AG20" i="14" s="1"/>
  <c r="AK16" i="14"/>
  <c r="AJ16" i="14"/>
  <c r="M16" i="14"/>
  <c r="L16" i="14"/>
  <c r="AK15" i="14"/>
  <c r="AJ15" i="14"/>
  <c r="M15" i="14"/>
  <c r="L15" i="14"/>
  <c r="AK12" i="14"/>
  <c r="AJ12" i="14"/>
  <c r="M12" i="14"/>
  <c r="L12" i="14"/>
  <c r="AK11" i="14" l="1"/>
  <c r="AJ11" i="14"/>
  <c r="AE11" i="14"/>
  <c r="AC11" i="14"/>
  <c r="AA11" i="14"/>
  <c r="Y11" i="14"/>
  <c r="W11" i="14"/>
  <c r="U11" i="14"/>
  <c r="S11" i="14"/>
  <c r="M11" i="14"/>
  <c r="L11" i="14"/>
  <c r="AF11" i="14" l="1"/>
  <c r="AG1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Carolina Ramos</author>
    <author>Carmen Catalina Arango Barbaran</author>
  </authors>
  <commentList>
    <comment ref="C9" authorId="0" shapeId="0" xr:uid="{00000000-0006-0000-0000-00000100000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O9" authorId="1" shapeId="0" xr:uid="{00000000-0006-0000-0000-000002000000}">
      <text>
        <r>
          <rPr>
            <b/>
            <sz val="9"/>
            <color indexed="81"/>
            <rFont val="Tahoma"/>
            <family val="2"/>
          </rPr>
          <t xml:space="preserve">Determine si el tipo de control de detectivo o preventivo
 </t>
        </r>
      </text>
    </comment>
    <comment ref="AH9" authorId="1" shapeId="0" xr:uid="{00000000-0006-0000-0000-000003000000}">
      <text>
        <r>
          <rPr>
            <b/>
            <sz val="9"/>
            <color indexed="81"/>
            <rFont val="Tahoma"/>
            <family val="2"/>
          </rPr>
          <t xml:space="preserve">Analice nuevamente el nivel de probabilidad del riesgo tomando en cuenta los controles descritos. </t>
        </r>
      </text>
    </comment>
    <comment ref="AI9" authorId="1" shapeId="0" xr:uid="{00000000-0006-0000-0000-00000400000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<sst xmlns="http://schemas.openxmlformats.org/spreadsheetml/2006/main" count="573" uniqueCount="267">
  <si>
    <t xml:space="preserve">Preventivo </t>
  </si>
  <si>
    <t>SI</t>
  </si>
  <si>
    <t>NO</t>
  </si>
  <si>
    <t xml:space="preserve">Operativo </t>
  </si>
  <si>
    <t xml:space="preserve">Financiero </t>
  </si>
  <si>
    <t>Proceso</t>
  </si>
  <si>
    <t xml:space="preserve">Riesgo Inherente </t>
  </si>
  <si>
    <t>Descripción del Control</t>
  </si>
  <si>
    <t xml:space="preserve">Tipo de Control </t>
  </si>
  <si>
    <t xml:space="preserve">Riesgo Residual </t>
  </si>
  <si>
    <t xml:space="preserve">Opciones de manejo </t>
  </si>
  <si>
    <t>Periodicidad</t>
  </si>
  <si>
    <t>CONTEXTO ESTRATÉGICO</t>
  </si>
  <si>
    <t>IDENTIFICACIÓN DEL RIESGO</t>
  </si>
  <si>
    <t>VALORACIÓN DEL RIESGO</t>
  </si>
  <si>
    <t>Tecnológicos</t>
  </si>
  <si>
    <t>Tipo de Riesgo</t>
  </si>
  <si>
    <t xml:space="preserve">Probabilidad </t>
  </si>
  <si>
    <t>Impacto</t>
  </si>
  <si>
    <t xml:space="preserve">Valoración del Control </t>
  </si>
  <si>
    <t>Formalidad</t>
  </si>
  <si>
    <t xml:space="preserve">Aplicación </t>
  </si>
  <si>
    <t xml:space="preserve">Siempre </t>
  </si>
  <si>
    <t>A discreción</t>
  </si>
  <si>
    <t>Nunca</t>
  </si>
  <si>
    <t>Efectividad</t>
  </si>
  <si>
    <t>Responsable</t>
  </si>
  <si>
    <t xml:space="preserve">Calificación del Control </t>
  </si>
  <si>
    <t xml:space="preserve">valor </t>
  </si>
  <si>
    <t>Semanal</t>
  </si>
  <si>
    <t>Quincenal</t>
  </si>
  <si>
    <t>Mensual</t>
  </si>
  <si>
    <t>Bimestral</t>
  </si>
  <si>
    <t>Trimestral</t>
  </si>
  <si>
    <t xml:space="preserve">Anual </t>
  </si>
  <si>
    <t>Cada vez que se requiera</t>
  </si>
  <si>
    <t xml:space="preserve">Total Calificación del Control </t>
  </si>
  <si>
    <t>Opciones de Manejo</t>
  </si>
  <si>
    <t>Evitarlo</t>
  </si>
  <si>
    <t>Reducirlo</t>
  </si>
  <si>
    <t>Compartirlo o Transferirlo</t>
  </si>
  <si>
    <t xml:space="preserve">Asumirlo </t>
  </si>
  <si>
    <t xml:space="preserve">Tipo de riesgo </t>
  </si>
  <si>
    <t xml:space="preserve">Factores </t>
  </si>
  <si>
    <t>Factores de Riesgo</t>
  </si>
  <si>
    <t>Externo</t>
  </si>
  <si>
    <t>Interno</t>
  </si>
  <si>
    <t>No de Riesgo</t>
  </si>
  <si>
    <t xml:space="preserve">Probabilidad 
Residual </t>
  </si>
  <si>
    <t>Impacto 
Residual</t>
  </si>
  <si>
    <t>Procesos</t>
  </si>
  <si>
    <t>Estratégicos</t>
  </si>
  <si>
    <t>Personal</t>
  </si>
  <si>
    <t>Tecnología</t>
  </si>
  <si>
    <t>Comunicación Interna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</si>
  <si>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</si>
  <si>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</si>
  <si>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</si>
  <si>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</si>
  <si>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</si>
  <si>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</si>
  <si>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</si>
  <si>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No asignado</t>
  </si>
  <si>
    <t>Adecuado</t>
  </si>
  <si>
    <t>Inadecuado</t>
  </si>
  <si>
    <t>Oportuna</t>
  </si>
  <si>
    <t>Inoportuna</t>
  </si>
  <si>
    <t>No es un control</t>
  </si>
  <si>
    <t>Confiable</t>
  </si>
  <si>
    <t>No confiable</t>
  </si>
  <si>
    <t>Se investigan y resuelven oportunamente</t>
  </si>
  <si>
    <t>No se investigan y resuelven oportunamente</t>
  </si>
  <si>
    <t>Completa</t>
  </si>
  <si>
    <t>Prevenir</t>
  </si>
  <si>
    <t>Detectar</t>
  </si>
  <si>
    <t>Incompleta</t>
  </si>
  <si>
    <t>No existe</t>
  </si>
  <si>
    <t>Promedio</t>
  </si>
  <si>
    <t>El control mitiga la probabilidad</t>
  </si>
  <si>
    <t>El control mitiga el impacto</t>
  </si>
  <si>
    <t>El control mitiga la probabilidad y el impacto</t>
  </si>
  <si>
    <t>Cumplimiento</t>
  </si>
  <si>
    <t>Imagen o reputacional</t>
  </si>
  <si>
    <t>Ambiental</t>
  </si>
  <si>
    <t>Seguridad y Salud en el Trabajo</t>
  </si>
  <si>
    <t>Detectivo</t>
  </si>
  <si>
    <t>Soporte</t>
  </si>
  <si>
    <t>Tiempo</t>
  </si>
  <si>
    <t>Económicos</t>
  </si>
  <si>
    <t>Políticos</t>
  </si>
  <si>
    <t xml:space="preserve">Sociales </t>
  </si>
  <si>
    <t>Medio Ambientales</t>
  </si>
  <si>
    <t>Financiero</t>
  </si>
  <si>
    <t>Opción de tratamiento</t>
  </si>
  <si>
    <t>Evitar</t>
  </si>
  <si>
    <t>Reducir</t>
  </si>
  <si>
    <t>Compartir</t>
  </si>
  <si>
    <t>Asumir</t>
  </si>
  <si>
    <t>PROCESO: GESTIÓN DE MEJORA CONTINUA</t>
  </si>
  <si>
    <t>Actividad</t>
  </si>
  <si>
    <t>No. de Riesgo</t>
  </si>
  <si>
    <t>Gestión Direccionamiento Estratégico</t>
  </si>
  <si>
    <t>Comunicaciones e Información</t>
  </si>
  <si>
    <t>Gestión Mejora Continua Sistema Integrado de Gestión</t>
  </si>
  <si>
    <t>Gestión Normativa</t>
  </si>
  <si>
    <t>Atención al Ciudadano</t>
  </si>
  <si>
    <t>Talento Humano</t>
  </si>
  <si>
    <t>Gestión Jurídica</t>
  </si>
  <si>
    <t>Anales y Publicaciones y Relatoría</t>
  </si>
  <si>
    <t>Gestión de Recursos Físicos</t>
  </si>
  <si>
    <t>Sistemas y Seguridad de la Información</t>
  </si>
  <si>
    <t>Gestión Documental</t>
  </si>
  <si>
    <t>Asignado</t>
  </si>
  <si>
    <t>Legales y reglamentarios</t>
  </si>
  <si>
    <t>Estratégico / Gerenciales</t>
  </si>
  <si>
    <t>Gestión Financiera</t>
  </si>
  <si>
    <t>Evaluación Independiente</t>
  </si>
  <si>
    <t>Consecuencia(s)</t>
  </si>
  <si>
    <t>Directamente</t>
  </si>
  <si>
    <t>Indirectamente</t>
  </si>
  <si>
    <t>No disminuye</t>
  </si>
  <si>
    <t>Transferir</t>
  </si>
  <si>
    <t xml:space="preserve">Elecciones de Servidores Públicos Distritales </t>
  </si>
  <si>
    <t>Control Político</t>
  </si>
  <si>
    <t>Internos
DEBILIDADES - FORTALEZAS</t>
  </si>
  <si>
    <t>Descripción del Riesgo</t>
  </si>
  <si>
    <t>ANÁLISIS DE RIESGO</t>
  </si>
  <si>
    <t>TRATAMIENTO DE RIESGOS</t>
  </si>
  <si>
    <t>Plan de tratamiento de riesgos</t>
  </si>
  <si>
    <t>Activo 
(Aplica para los riesgos de Seguridad digital)</t>
  </si>
  <si>
    <t>Corrupción / Fraude</t>
  </si>
  <si>
    <t>Externos
AMENAZAS - OPORTUNIDADES</t>
  </si>
  <si>
    <t>Causas / 
Vulnerabilidades</t>
  </si>
  <si>
    <t>Seguridad de la Información /Seguridad Digital</t>
  </si>
  <si>
    <t>N.A.</t>
  </si>
  <si>
    <t>Indagación y/o investigación administrativa, fiscal, disciplinaria o penal</t>
  </si>
  <si>
    <t>No aplica</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</si>
  <si>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</si>
  <si>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</si>
  <si>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</si>
  <si>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 xml:space="preserve">Corrupción </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</si>
  <si>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Oficina Juridica.</t>
  </si>
  <si>
    <t>Actualizar  los procedimientos  para la publicación de contenidos oficiales en pagina web e intranet.</t>
  </si>
  <si>
    <t xml:space="preserve">Documento del sistema de gestión formalizado. </t>
  </si>
  <si>
    <t>Oficina Asesora de Comunicaciones</t>
  </si>
  <si>
    <t>Septiembre de 2021</t>
  </si>
  <si>
    <t xml:space="preserve">'No cumplir con lo establecido en el procedimiento de Gestión Normativa para el sorteo de Ponencias, favoreciendo a un tercero. </t>
  </si>
  <si>
    <t xml:space="preserve">
Incumplimiento de los requisitos para el sorteo de ponencias que facilita la obtención de beneficios propios o para un tercero</t>
  </si>
  <si>
    <t>El presidente de la Corporación, en presencia del Secretario General de Organismo de Control, con el apoyo de recursos humanos, tecnológicos y físicos,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graba para dejar evidencia de su realización.</t>
  </si>
  <si>
    <t>1. Convocar a los interesados para el sorteo de los proyectos de acuerdo.
2. Grabar en video y audio el sorteo, disponibles en la red interna de la Corporación.                                          3. Gestionar la designación de un asesor de mesa directiva, para que verifique la designación de ponentes, conforme al Reglamento Interno.                                                              4. El secretario general y/o los subsecretarios de despacho, junto con los profesionales de apoyo, verificar la designación de ponentes, conforme al Reglamento Interno y en caso de irregularidad, informar al Presidente para realización de nuevo sorteo.</t>
  </si>
  <si>
    <t>1. Correo electronico convocando a los interesados 
2. Memorandos de comunicación                        3. Memorando de solicitud de designación de asesor</t>
  </si>
  <si>
    <t>1. Secretaria general
2. Direccion adminsitrativa/sistemas</t>
  </si>
  <si>
    <t xml:space="preserve"> Sesiones ordinarias (Febrero, Mayo, Agosto y Noviembre) y en sesiones extraordinarias</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</si>
  <si>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</si>
  <si>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</si>
  <si>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</si>
  <si>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Expedición de certificaciones de honorarios que no se ajusten a la asistencia real de los Honorables Concejales a las sesiones plenarias y comisiones, para beneficio propio o de un tercero</t>
  </si>
  <si>
    <t>Indagación y/o investigación administrativa, fiscal, disciplinaria o penal 
Detrimento patrimonial</t>
  </si>
  <si>
    <t xml:space="preserve">
El profesional asignado por parte del secretario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Adicionalmente el secretario general y los subsecretarios de comisiones, verifican las certificaciones mensuales emitidas, con fundamento en los llamados a lista de cada sesión y el secretario general verifica el consolidado mensual, con fundamento en las certificaciones de cada subsecretario de comisión.</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</si>
  <si>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</si>
  <si>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</si>
  <si>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Subsecretarios de Comisiones permanentes</t>
  </si>
  <si>
    <t>Enero -Diciembre  (mensual)</t>
  </si>
  <si>
    <t>No verificar el registro biométrico de votación para elaborar la certificación.</t>
  </si>
  <si>
    <t>Expedición de certificaciones de votaciones que no corresponden a las reales, con el fin de favorecer un interés propio o de terceros</t>
  </si>
  <si>
    <t xml:space="preserve">El profesional asignado por parte del secretario general o el subsecretario,  elabora el registro de votación una vez culminada la sesión, al dia siguiente el secretario general o subsecretario de comisión revisa y verifica la información para expedir la certificación y en el caso de encontrar inconsistencias realiza los ajustes respectivos y expide la certificación. Una vez firmadas se publican en la red interna y la página Web, en cumplimiento de la ley 1712 de 2014 </t>
  </si>
  <si>
    <t>Verificar la votacion con el registro suministrado por sistemas y en caso de fallas del sistema, diligenciar el formato de votación nominal confrontado con la grabación de la sesión, de conformidad con el reglamento interno vigente</t>
  </si>
  <si>
    <t>Registro de votación expedido por sistemas de cada una de las sesiones o el llamado a lista firmado por el secretario o subsecretario.</t>
  </si>
  <si>
    <t>Sesiones ordinarias (Febrero, Mayo, Agosto y Noviembre) y en sesiones extraordinarias</t>
  </si>
  <si>
    <t>Omisión en el registro de la votación que se lleve a cabo.</t>
  </si>
  <si>
    <t>NO verficar la grabacion de las sesiones  (audio -video)</t>
  </si>
  <si>
    <t>No permitir que se cumpla con los términos de radicación.</t>
  </si>
  <si>
    <t>Uso excesivo del poder</t>
  </si>
  <si>
    <t>Direccionamiento indebido en  la expedición de actos administrativos de apertura y reglamentación de la convocatoria pública para la elección del secretario general de organismo de control y/o subsecretarios de despacho de las comisiones permanentes, o en la toma de desiciones en beneficio propio o de un tercero</t>
  </si>
  <si>
    <t>Pérdida de confianza en lo público</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</si>
  <si>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adminitrativos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presetarse desviaciones se comunicará lo sucedido a la autoridad compente para que inicie las investigaciones a que haya lugar. Así mismo, se adenlantarán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</si>
  <si>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</si>
  <si>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</si>
  <si>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t>
  </si>
  <si>
    <t>Recomendación o favoritismo</t>
  </si>
  <si>
    <t>Indagación y/o investigación administrativa, disciplinaria, fiscal o penal.</t>
  </si>
  <si>
    <t xml:space="preserve">
Expedición de certificación de votaciones, que no corresponden a las reales, con el fin de favorecer un interés propio o de un tercero, en eventos no subsanables ( Tratandose de la aprobación de proposiciones y la  votación de mociones de observación y de censura)</t>
  </si>
  <si>
    <t xml:space="preserve">
El profesional asignado por parte del Secretario General o el Subsecretario,  una vez culminada la sesión  elabora el registro de votación. Al dia siguiente,  el secretario y subsecretarios revisan y verifican la información para expedir la certificación y en el caso de encontrar inconsistencias  (solicitan realizar) realiza los ajustes respectivos y se expide la certificación
</t>
  </si>
  <si>
    <t>Verificar la votacion nominal  con el registro suministrado por sistemas y en caso de fallas del sistema, se realizará verificación contra grabación, de conformidad con el reglamento interno vigente</t>
  </si>
  <si>
    <t>Registro de votación expedido por sistemas de cada una de las sesiones  resultado de votación firmado por el secretario o subsecretario.</t>
  </si>
  <si>
    <t>Secretario General
Subsecretarios de Comisiones permanentes</t>
  </si>
  <si>
    <t>Control Politico</t>
  </si>
  <si>
    <t xml:space="preserve">Intereses y presiones de actores internos o  externos para favorecer a un particular. </t>
  </si>
  <si>
    <t>Posibilidad de favorecer a personas que no cumplan los requisitos en los planes de  bienestar o capacitación con el fin de beneficiar a particulares.</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</si>
  <si>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</si>
  <si>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</si>
  <si>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Actualizar los procedimientos de Plan de Bienestar e Incentivos y Capacitación a Funcionarios y el formato de inscripción a actividades de bienestar y capacitación en el cual se incluya el tipo de vinculación de la persona con la entidad y que controle el registro de personas que tienen derecho a participar.</t>
  </si>
  <si>
    <t>Documentos actualizados en el SIG.</t>
  </si>
  <si>
    <t>Director Administrativo.</t>
  </si>
  <si>
    <t>31-Junio de 2021</t>
  </si>
  <si>
    <t>Realizar actuaciones administrativas (nombramiento de funcionarios, encargos, reconocimiento de primas técnicas, sin el lleno de los requisitos legales o reglamentarios para favorecer a un tercero.</t>
  </si>
  <si>
    <t xml:space="preserve">Sanciones Disciplinarias
Sanciones Fiscales.
Sanciones Penales.
</t>
  </si>
  <si>
    <t xml:space="preserve">El responsable de proyectar el acto administrativo cada vez que se emite un acto administrativo verifica el cumplimiento de los requisitos establecidos en el procedimiento y en la norma, el documento proyectado es revisado por el asesor y entregado a la Dirección administrativa para la revisión, aprobación y certificación  del cumplimiento en los casos en que se requiere. De no encontrarse ajustado a los términos requeridos se solicita al punto de control realizar el ajuste.
En caso de que se encuentre una desviación el punto de control en el que se detecto lo devuelve a donde se origino el documento para su revisión y ajuste. </t>
  </si>
  <si>
    <t xml:space="preserve">Actualizar el procedimiento de vinculación, desvinculación, licencias no remuneradas 
Aplicar los puntos de control establecidos en el procedimiento de encargos. </t>
  </si>
  <si>
    <t>Procedimiento Actualizado
Puntos de control según procedimiento</t>
  </si>
  <si>
    <t>Director Administrativo - equipo de talento humano.</t>
  </si>
  <si>
    <t>31 de junio de 2021.</t>
  </si>
  <si>
    <t>Presión de terceros para incidir en las decisiones de la Dirección Jurídica.</t>
  </si>
  <si>
    <t>Avalar la expedición de actos administrativos y emitir conceptos por fuera del marco legal con el fin de favorecer el interés de un tercero.</t>
  </si>
  <si>
    <t>*Toma decisiones administrativas en contravía del ordenamiento jurídico.
*Posible investigacion penal, disciplinaria y/o fiscal.
* Acciones contencioso administrativas.
*Acción de Repeticion contra el funcionario que decide.
*Afectacion imagen institucional.</t>
  </si>
  <si>
    <t>El Director Jurídico cada vez que se solicita la revisión de un acto administrativo o un concepto, asigna el tema a un profesional, quien proyecta el acto administrativo o el concepto solicitado y lo remite al Director Jurídico, quien solo imparte viabilidad jurídica a los  proyectos de actos y  conceptos que estén acordes con los requisitos legales.  En caso de encontrar alguna inconsistencia, el Director ordena efectuar el correspondiente ajuste, previo a emitir el aval  o a suscribir el documento para publicar (conceptos) o enviar a la mesa directiva</t>
  </si>
  <si>
    <t>Divulgar el procedimiento Asesoría Jurídica Interna.</t>
  </si>
  <si>
    <t>Pieza divulgativa</t>
  </si>
  <si>
    <t>Director Técnico Jurídico</t>
  </si>
  <si>
    <t>Mayo de 2021</t>
  </si>
  <si>
    <t>Los funcionarios a quienes se presta el servicio de transpote tienen intención de manera directa o por presión de un tercero interno/ externo de darles usos diferentes a los estrictamente establecidos por la entidad para su beneficio personal.</t>
  </si>
  <si>
    <t xml:space="preserve">Posibilidad de dar uso indebido a los vehiculos propios de la Corporación, que prestan servicios de transporte a las dependencias administrativas y a los directivos a cargo de las mismas, en beneficio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</si>
  <si>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</si>
  <si>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haya prestado de conformidad con el protocolo establecido:  el conductor haya registrado el servicio de transporte prestado, el formato esté  firmado por el funcionario a quien se le prestó el servicio. Si no se encuentra firmado se constata con el funcionario que el servicio se haya prestado y en el espacio de observaciones se registran los eventos que no hayan cumplido con el procedimiento.</t>
  </si>
  <si>
    <t xml:space="preserve">Comunicar y socializar a las partes interesadas el reglamento para la administraciòn, uso y manejo del parque autormotor propio al servicio del Concejo de Bogota. </t>
  </si>
  <si>
    <t>Memorandos y actas de reunión de socialización del Reglamento para la administraciòn, uso y manejo del parque autormotor propio al servicio del Concejo de Bogota adoptado. 
Procedimiento y Formato adoptado</t>
  </si>
  <si>
    <t xml:space="preserve">Dirección administrativa </t>
  </si>
  <si>
    <t>30 de Diciembre de 2021</t>
  </si>
  <si>
    <t>Debilidad en los lineamientos, directirices o controles en la utilización de los recursos.</t>
  </si>
  <si>
    <t xml:space="preserve">Posibilidad de dar uso indebido a los recursos e insumos de  servicios generales, mantenimiento,   en benificio de terceros o particulares. </t>
  </si>
  <si>
    <t xml:space="preserve">Investigaciones disciplinarias
Investigaciones fiscales
Investigaciones penales
Detrimento patrimonial
Perdida de imagen institucional </t>
  </si>
  <si>
    <t>El profesional universitario y el auxiliar de servicios generales  (de un lado, realiza seguimiento al cumplimiento del contrato de mantenimiento de infraestructura) (frente a los insumos el auxiliar administrativo lleva control del inventario de insumos de aseo y cafeteria). Verifica que la empresa contratista provea los insumos ;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</si>
  <si>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Realizar reunion de socialización con los integrantes de mantenimiento y servicios generales de los  procedimientos y formatos para ejecer adecuado control del manejo de suministros</t>
  </si>
  <si>
    <t>Registro de reunión.</t>
  </si>
  <si>
    <t>Sistemas de Información susceptibles de manipulación o adulteración por personas no autorizadas.</t>
  </si>
  <si>
    <t>Acceso indebido, hurto, manipulación o adulteración de la información para beneficio propio o de un tercero.</t>
  </si>
  <si>
    <t>Perdida de la información 
Perdida de la imagen y reputación.
Sanciones disciplinarias.
Sanciones penales.
Sanciones fiscales</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</si>
  <si>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</si>
  <si>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</si>
  <si>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</si>
  <si>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</si>
  <si>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Diciembre 2021</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</si>
  <si>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</si>
  <si>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</si>
  <si>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 xml:space="preserve">Acceso indebido a los sistemas </t>
  </si>
  <si>
    <t>Obstaculización de un sistema informático del Concejo de Bogotá para beneficio propio o de un tercero</t>
  </si>
  <si>
    <t>Perdida de la imagen y reputación.
Sanciones disciplinarias.
Sanciones penales.
Sanciones fiscales</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</si>
  <si>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</si>
  <si>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</si>
  <si>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</si>
  <si>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Vulnerabilidades de las plataformas de los sistemas informáticos</t>
  </si>
  <si>
    <t>Concentrar las labores de supervisiòn en poco personal.
Desconocimiento de la normativa aplicable a la supervisión contractual.
Retrasos en la gestión para la adquisición de bienes y servicios para la Corporación.</t>
  </si>
  <si>
    <t>Inadecuada gestión contractual de los supervisores en los requerimientos realizadas a la Dirección Financiera, generando incumplimiento de las obligaciones contractuales, en beneficio propio o de un tercero.</t>
  </si>
  <si>
    <t>Incumplimiento del objeto contractual por parte del contratista.</t>
  </si>
  <si>
    <t>Una vez perfeccionado el contrato y remitido por la Subdirecciòn de Asuntos Contractuales - SDH, el responsable del procedimiento de Fondo Cuenta proyecta memorando al funcionario asignado como Supervisor del Contrato, informandole la desingaciòn en la supervisiòn y su responsabilidades; por comunicación oficial se adjunta el link del Manual de Contrataciòn y la Guia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</si>
  <si>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</si>
  <si>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 xml:space="preserve">Acta de Reunión </t>
  </si>
  <si>
    <t>Director Financiero y Fondo Cuenta del Concejo</t>
  </si>
  <si>
    <t>semestral</t>
  </si>
  <si>
    <t>Servicios prestados no acordes a la necesidades que se pretendian satisfacer.</t>
  </si>
  <si>
    <t>Recibida la cuenta de cobro por parte de los contratistas de la Dirección Financiera y por parte de los Supervisores de las demas dependencias de la Corporación, los apoyos a la supervisiòn de los contratos proceden a verificar la documentaciòn y soportes aportados (Ej: Pago seguridad social, Informe de Supervisiòn Periodica, Facturas si aplica, Informe de Ejecuciòn Mensual, entre otros), siendo correcto se procede a dar visto bueno en el Formato Ejecuciòn y Supervisión de Contratos y el Procedimiento Fondo Cuenta  elabora oficio remisiorio a la SDH. En caso de evidenciar observaciones se devuelve al supervisor para los correspondientes ajustes.</t>
  </si>
  <si>
    <t xml:space="preserve">Capacitar a los  Supervisores de Contrato, Apoyos a la Supervisión y Contratistas con el proposito de orientar en la correcta presentación de la documentación y los aplicativos correspondientes. </t>
  </si>
  <si>
    <t>Registro de Asistencia</t>
  </si>
  <si>
    <t>Demora en los pagos a los contratistas.</t>
  </si>
  <si>
    <t>Recibido el Informe final de la ejecuciòn del contrato por parte de los contratistas de la Dirección Financiera y por parte de los Supervisores de las demás dependencias de la Corporación, los apoyos a la supervisiòn de los contratos proceden a verificar la documentaciòn y soportes aportados (Ej: Pago seguridad social, Informe de Supervisiòn Periodica, Facturas si aplica, Informe de Ejecuciòn Mensual y Final, entre otros), siendo correcto el Procedimiento Fondo Cuenta a elabora oficio remisiorio a la SDH. En caso de evidenciar observaciones se devuelve al supervisor para los correspondientes ajustes.</t>
  </si>
  <si>
    <t>Sanciones pecunarias por el pago sin la verificaciòn de la prestaciòn de servicio o la entrega de bienes contratados.</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</si>
  <si>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</si>
  <si>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</si>
  <si>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</si>
  <si>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t>En cada auditoría interna se realiza reunión con el Jefe de Control Interno para revisar el informe preliminar de auditoría (Acta) y en caso de encontrar diferencias, se realizan los ajustes correspondientes, siempre contando con la firma de el Auditor Lider y del Jefe de la Oficina de Control Interno con el fin de que el Informe de Auditoría disponga de revisión por el lider del proceso.</t>
  </si>
  <si>
    <t xml:space="preserve">Revisión del Informe Final con la intervensión del Jefe de la Oficina de Control Interno. </t>
  </si>
  <si>
    <t>Acta de Reunión</t>
  </si>
  <si>
    <t>Jefe de la OCI y Auditor líder</t>
  </si>
  <si>
    <t>31  de diciembre de 2021</t>
  </si>
  <si>
    <t>Evaluacion Independientes</t>
  </si>
  <si>
    <t>NO APLICA</t>
  </si>
  <si>
    <t>CONSOLIDADO RIEGOS DE CORRUPCIÓN -  2021 - 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</si>
</sst>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1"/>
      <name val="Arial"/>
      <family val="2"/>
    </font>
    <font>
      <b/>
      <sz val="1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206">
    <xf numFmtId="0" fontId="0" fillId="0" borderId="0" xfId="0"/>
    <xf numFmtId="0" fontId="1" fillId="0" borderId="1" xfId="0" applyFont="1" applyBorder="1"/>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Fill="1" applyAlignment="1">
      <alignment vertical="center" wrapText="1"/>
    </xf>
    <xf numFmtId="0" fontId="5" fillId="0" borderId="0"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4" borderId="1" xfId="0" applyFont="1" applyFill="1" applyBorder="1" applyAlignment="1">
      <alignment horizontal="justify" vertical="center" wrapText="1"/>
    </xf>
    <xf numFmtId="0" fontId="0" fillId="0" borderId="0" xfId="0" applyAlignment="1">
      <alignment wrapText="1"/>
    </xf>
    <xf numFmtId="0" fontId="0" fillId="0" borderId="1" xfId="0" applyBorder="1"/>
    <xf numFmtId="0" fontId="0" fillId="0" borderId="1" xfId="0" applyFont="1" applyFill="1" applyBorder="1" applyAlignment="1">
      <alignment horizontal="left"/>
    </xf>
    <xf numFmtId="0" fontId="0" fillId="0" borderId="1" xfId="0"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wrapText="1"/>
    </xf>
    <xf numFmtId="0" fontId="1" fillId="3" borderId="1" xfId="0" applyFont="1" applyFill="1" applyBorder="1"/>
    <xf numFmtId="0" fontId="1" fillId="3" borderId="1" xfId="0" applyFont="1" applyFill="1" applyBorder="1" applyAlignment="1">
      <alignment horizontal="left" vertical="center"/>
    </xf>
    <xf numFmtId="0" fontId="1" fillId="0" borderId="4" xfId="0" applyFont="1" applyBorder="1"/>
    <xf numFmtId="0" fontId="0" fillId="0" borderId="4" xfId="0" applyBorder="1" applyAlignment="1">
      <alignment horizontal="center" vertical="center"/>
    </xf>
    <xf numFmtId="0" fontId="1" fillId="0" borderId="0" xfId="0" applyFont="1" applyBorder="1"/>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4" fillId="0" borderId="2" xfId="0" applyFont="1" applyBorder="1" applyAlignment="1">
      <alignment horizontal="center" vertical="center"/>
    </xf>
    <xf numFmtId="0" fontId="5" fillId="4" borderId="1"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pplyProtection="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7" borderId="1" xfId="0" quotePrefix="1" applyFont="1" applyFill="1" applyBorder="1" applyAlignment="1">
      <alignment vertical="center" wrapText="1"/>
    </xf>
    <xf numFmtId="0" fontId="4" fillId="0" borderId="1" xfId="0" applyFont="1" applyBorder="1" applyAlignment="1">
      <alignment vertical="center" wrapText="1"/>
    </xf>
    <xf numFmtId="0" fontId="4" fillId="7" borderId="1" xfId="0" applyFont="1" applyFill="1" applyBorder="1" applyAlignment="1">
      <alignment vertical="center" wrapText="1"/>
    </xf>
    <xf numFmtId="15" fontId="4" fillId="0" borderId="1" xfId="0" applyNumberFormat="1" applyFont="1" applyBorder="1" applyAlignment="1">
      <alignment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7" borderId="1" xfId="0" quotePrefix="1" applyFont="1" applyFill="1" applyBorder="1" applyAlignment="1">
      <alignment vertical="center" wrapText="1"/>
    </xf>
    <xf numFmtId="0" fontId="6" fillId="7" borderId="1" xfId="0" applyFont="1" applyFill="1" applyBorder="1" applyAlignment="1">
      <alignment vertical="center" wrapText="1"/>
    </xf>
    <xf numFmtId="0" fontId="4" fillId="0" borderId="1" xfId="0" quotePrefix="1" applyFont="1" applyBorder="1" applyAlignment="1">
      <alignment horizontal="justify" vertical="center" wrapText="1"/>
    </xf>
    <xf numFmtId="0" fontId="6" fillId="0" borderId="1" xfId="0" applyFont="1" applyBorder="1" applyAlignment="1">
      <alignment vertical="center" wrapText="1"/>
    </xf>
    <xf numFmtId="0" fontId="7" fillId="2" borderId="1" xfId="0" applyFont="1" applyFill="1" applyBorder="1" applyAlignment="1">
      <alignment horizontal="center" vertical="center"/>
    </xf>
    <xf numFmtId="0" fontId="6" fillId="7"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quotePrefix="1" applyFont="1" applyBorder="1" applyAlignment="1">
      <alignment horizontal="left" vertical="center" wrapText="1"/>
    </xf>
    <xf numFmtId="0" fontId="6" fillId="7" borderId="1" xfId="0" quotePrefix="1" applyFont="1" applyFill="1" applyBorder="1" applyAlignment="1">
      <alignment horizontal="left" vertical="center" wrapText="1"/>
    </xf>
    <xf numFmtId="0" fontId="4" fillId="7" borderId="1" xfId="0" quotePrefix="1" applyFont="1" applyFill="1" applyBorder="1" applyAlignment="1">
      <alignment horizontal="left" vertical="center" wrapText="1"/>
    </xf>
    <xf numFmtId="0" fontId="6" fillId="0" borderId="1" xfId="0" quotePrefix="1" applyFont="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6" fillId="7" borderId="1" xfId="0" quotePrefix="1"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0" borderId="1" xfId="0" quotePrefix="1" applyFont="1" applyBorder="1" applyAlignment="1">
      <alignment horizontal="center" vertical="center" wrapText="1"/>
    </xf>
    <xf numFmtId="0" fontId="6" fillId="0" borderId="1" xfId="0" quotePrefix="1" applyFont="1" applyBorder="1" applyAlignment="1" applyProtection="1">
      <alignment vertical="center" wrapText="1" shrinkToFi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pplyProtection="1">
      <alignment horizontal="center" vertical="center"/>
    </xf>
    <xf numFmtId="0" fontId="4" fillId="0" borderId="1" xfId="0" applyFont="1" applyBorder="1" applyAlignment="1">
      <alignment horizontal="left"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7" borderId="1" xfId="0" applyFont="1" applyFill="1" applyBorder="1" applyAlignment="1">
      <alignment horizontal="left" wrapText="1"/>
    </xf>
    <xf numFmtId="0" fontId="6" fillId="0" borderId="1" xfId="0" applyFont="1" applyBorder="1" applyAlignment="1">
      <alignment horizontal="left" wrapText="1"/>
    </xf>
    <xf numFmtId="0" fontId="7" fillId="0" borderId="1" xfId="0" applyFont="1" applyFill="1" applyBorder="1" applyAlignment="1" applyProtection="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7" borderId="1" xfId="0" applyFont="1" applyFill="1" applyBorder="1" applyAlignment="1">
      <alignment horizontal="justify" vertical="center" wrapText="1"/>
    </xf>
    <xf numFmtId="0" fontId="4" fillId="7" borderId="1" xfId="0" applyFont="1" applyFill="1" applyBorder="1" applyAlignment="1">
      <alignment horizontal="justify" vertical="center" wrapText="1"/>
    </xf>
    <xf numFmtId="0" fontId="4" fillId="0" borderId="1" xfId="0" applyFont="1" applyBorder="1" applyAlignment="1">
      <alignment horizontal="justify" vertical="center" wrapText="1"/>
    </xf>
    <xf numFmtId="17" fontId="6" fillId="0" borderId="1" xfId="0" applyNumberFormat="1" applyFont="1" applyBorder="1" applyAlignment="1">
      <alignment horizontal="left" vertical="center" wrapText="1"/>
    </xf>
    <xf numFmtId="0" fontId="6" fillId="0" borderId="1" xfId="0" applyFont="1" applyBorder="1" applyAlignment="1" applyProtection="1">
      <alignment horizontal="left" vertical="center" wrapText="1" shrinkToFit="1"/>
      <protection locked="0"/>
    </xf>
    <xf numFmtId="0" fontId="6" fillId="0" borderId="1" xfId="0" quotePrefix="1" applyFont="1" applyBorder="1" applyAlignment="1">
      <alignment horizontal="left" vertical="center" wrapText="1"/>
    </xf>
    <xf numFmtId="2" fontId="4" fillId="0" borderId="1" xfId="0" applyNumberFormat="1" applyFont="1" applyBorder="1" applyAlignment="1">
      <alignment horizontal="left" vertical="center" wrapText="1"/>
    </xf>
    <xf numFmtId="49" fontId="4" fillId="0" borderId="1" xfId="0" applyNumberFormat="1" applyFont="1" applyBorder="1" applyAlignment="1">
      <alignment vertical="center" wrapText="1"/>
    </xf>
    <xf numFmtId="2" fontId="6" fillId="0" borderId="1" xfId="0" applyNumberFormat="1" applyFont="1" applyBorder="1" applyAlignment="1">
      <alignment horizontal="left" vertical="center" wrapText="1"/>
    </xf>
    <xf numFmtId="0" fontId="5" fillId="0" borderId="0" xfId="0" applyFont="1" applyAlignment="1">
      <alignment vertic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 fontId="4" fillId="0" borderId="5" xfId="0" quotePrefix="1" applyNumberFormat="1" applyFont="1" applyBorder="1" applyAlignment="1">
      <alignment horizontal="center" vertical="center"/>
    </xf>
    <xf numFmtId="17" fontId="4" fillId="0" borderId="6" xfId="0" quotePrefix="1"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2" fontId="6" fillId="0" borderId="5" xfId="0" applyNumberFormat="1" applyFont="1" applyBorder="1" applyAlignment="1">
      <alignment horizontal="left" vertical="center" wrapText="1"/>
    </xf>
    <xf numFmtId="2" fontId="6" fillId="0" borderId="12" xfId="0" applyNumberFormat="1" applyFont="1" applyBorder="1" applyAlignment="1">
      <alignment horizontal="left" vertical="center" wrapText="1"/>
    </xf>
    <xf numFmtId="2" fontId="6" fillId="0" borderId="6" xfId="0" applyNumberFormat="1" applyFont="1" applyBorder="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vertical="center" wrapText="1"/>
    </xf>
    <xf numFmtId="0" fontId="4" fillId="0" borderId="12" xfId="0" applyFont="1" applyBorder="1" applyAlignment="1">
      <alignment vertical="center" wrapText="1"/>
    </xf>
    <xf numFmtId="0" fontId="4" fillId="0" borderId="6" xfId="0" applyFont="1" applyBorder="1" applyAlignment="1">
      <alignment vertical="center" wrapText="1"/>
    </xf>
    <xf numFmtId="49" fontId="4" fillId="0" borderId="5"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6" xfId="0" applyNumberFormat="1"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12" xfId="0" applyFont="1" applyBorder="1" applyAlignment="1">
      <alignment horizontal="left" vertical="center" wrapText="1"/>
    </xf>
    <xf numFmtId="0" fontId="6" fillId="0" borderId="5"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5" xfId="0" quotePrefix="1" applyFont="1" applyBorder="1" applyAlignment="1">
      <alignment horizontal="left" vertical="center" wrapText="1"/>
    </xf>
    <xf numFmtId="0" fontId="6" fillId="0" borderId="12" xfId="0" quotePrefix="1" applyFont="1" applyBorder="1" applyAlignment="1">
      <alignment horizontal="left" vertical="center" wrapText="1"/>
    </xf>
    <xf numFmtId="0" fontId="6" fillId="0" borderId="6" xfId="0" quotePrefix="1" applyFont="1" applyBorder="1" applyAlignment="1">
      <alignment horizontal="left" vertical="center" wrapText="1"/>
    </xf>
    <xf numFmtId="0" fontId="4" fillId="7" borderId="1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6" fillId="7" borderId="5" xfId="0" quotePrefix="1" applyFont="1" applyFill="1" applyBorder="1" applyAlignment="1">
      <alignment horizontal="center" vertical="center" wrapText="1"/>
    </xf>
    <xf numFmtId="0" fontId="6" fillId="7" borderId="12" xfId="0" quotePrefix="1" applyFont="1" applyFill="1" applyBorder="1" applyAlignment="1">
      <alignment horizontal="center" vertical="center" wrapText="1"/>
    </xf>
    <xf numFmtId="0" fontId="6" fillId="7" borderId="6" xfId="0" quotePrefix="1" applyFont="1" applyFill="1" applyBorder="1" applyAlignment="1">
      <alignment horizontal="center" vertical="center" wrapText="1"/>
    </xf>
    <xf numFmtId="0" fontId="6" fillId="7" borderId="5"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5" xfId="0" quotePrefix="1" applyFont="1" applyFill="1" applyBorder="1" applyAlignment="1">
      <alignment horizontal="left" vertical="center" wrapText="1"/>
    </xf>
    <xf numFmtId="0" fontId="6" fillId="7" borderId="12" xfId="0" quotePrefix="1" applyFont="1" applyFill="1" applyBorder="1" applyAlignment="1">
      <alignment horizontal="left" vertical="center" wrapText="1"/>
    </xf>
    <xf numFmtId="0" fontId="6" fillId="7" borderId="6" xfId="0" quotePrefix="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quotePrefix="1" applyFont="1" applyFill="1" applyBorder="1" applyAlignment="1">
      <alignment horizontal="left" vertical="center" wrapText="1"/>
    </xf>
    <xf numFmtId="0" fontId="6" fillId="0" borderId="6" xfId="0" quotePrefix="1" applyFont="1" applyFill="1" applyBorder="1" applyAlignment="1">
      <alignment horizontal="left" vertical="center" wrapText="1"/>
    </xf>
    <xf numFmtId="0" fontId="4" fillId="0" borderId="5" xfId="0" quotePrefix="1" applyFont="1" applyFill="1" applyBorder="1" applyAlignment="1">
      <alignment horizontal="left" vertical="center" wrapText="1"/>
    </xf>
    <xf numFmtId="0" fontId="4" fillId="0" borderId="6" xfId="0" quotePrefix="1" applyFont="1" applyFill="1" applyBorder="1" applyAlignment="1">
      <alignment horizontal="left" vertical="center" wrapText="1"/>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8" borderId="1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5" fillId="10" borderId="2"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6" borderId="1" xfId="0" applyFont="1" applyFill="1" applyBorder="1" applyAlignment="1">
      <alignment horizontal="center" vertical="center"/>
    </xf>
    <xf numFmtId="0" fontId="4" fillId="0" borderId="0" xfId="0" applyFont="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12" xfId="0" applyFont="1" applyFill="1" applyBorder="1" applyAlignment="1" applyProtection="1">
      <alignment horizontal="center" vertical="center"/>
    </xf>
    <xf numFmtId="0" fontId="4" fillId="0" borderId="12" xfId="0" applyFont="1" applyFill="1" applyBorder="1" applyAlignment="1">
      <alignment horizontal="center" vertical="center" wrapText="1"/>
    </xf>
    <xf numFmtId="0" fontId="6" fillId="7" borderId="1" xfId="0" quotePrefix="1"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12" xfId="0" applyFont="1" applyBorder="1" applyAlignment="1">
      <alignment horizontal="left" vertical="center" wrapText="1"/>
    </xf>
    <xf numFmtId="1" fontId="4" fillId="0" borderId="5"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6" xfId="0" applyNumberFormat="1" applyFont="1" applyBorder="1" applyAlignment="1">
      <alignment horizontal="center" vertical="center"/>
    </xf>
    <xf numFmtId="0" fontId="6" fillId="7"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2"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2" xfId="0" applyFont="1" applyBorder="1" applyAlignment="1">
      <alignment horizontal="justify" vertical="center"/>
    </xf>
    <xf numFmtId="0" fontId="4" fillId="0" borderId="6" xfId="0" applyFont="1" applyBorder="1" applyAlignment="1">
      <alignment horizontal="justify" vertical="center"/>
    </xf>
    <xf numFmtId="0" fontId="4" fillId="0" borderId="5" xfId="0" applyFont="1" applyBorder="1" applyAlignment="1">
      <alignment horizontal="justify" vertical="center" wrapText="1"/>
    </xf>
    <xf numFmtId="0" fontId="4" fillId="0" borderId="5" xfId="0" applyFont="1" applyBorder="1" applyAlignment="1">
      <alignment horizontal="justify" vertical="center"/>
    </xf>
    <xf numFmtId="0" fontId="5" fillId="4" borderId="12" xfId="0" applyFont="1" applyFill="1" applyBorder="1" applyAlignment="1">
      <alignment horizontal="center" vertical="center" wrapText="1"/>
    </xf>
    <xf numFmtId="0" fontId="1" fillId="6" borderId="4" xfId="0" applyFont="1" applyFill="1" applyBorder="1" applyAlignment="1">
      <alignment horizontal="center"/>
    </xf>
    <xf numFmtId="0" fontId="1" fillId="6" borderId="1" xfId="0" applyFont="1" applyFill="1" applyBorder="1" applyAlignment="1">
      <alignment horizontal="center"/>
    </xf>
    <xf numFmtId="0" fontId="0" fillId="3" borderId="1" xfId="0" applyFill="1" applyBorder="1" applyAlignment="1">
      <alignment horizontal="center"/>
    </xf>
    <xf numFmtId="0" fontId="0" fillId="0" borderId="0" xfId="0" applyFont="1" applyFill="1" applyBorder="1" applyAlignment="1">
      <alignment horizontal="left" vertical="top" wrapText="1"/>
    </xf>
  </cellXfs>
  <cellStyles count="1">
    <cellStyle name="Normal" xfId="0" builtinId="0"/>
  </cellStyles>
  <dxfs count="150">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2.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178654</xdr:rowOff>
    </xdr:from>
    <xdr:to>
      <xdr:col>0</xdr:col>
      <xdr:colOff>883103</xdr:colOff>
      <xdr:row>2</xdr:row>
      <xdr:rowOff>302479</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78654"/>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2%20Mapa%20_Riesgos%20Comunicaciones%20e%20Informac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2_MR_Comunicacion%20e%20Informa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4_MR_Gestion%20Normativ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5_MR_Eleccion_servidores_public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1%20Mapa_Riesgos%20Direccionamiento%20Estrat&#233;gic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8_MR_Talento%20Human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9_MR_Gestion%20%20Juridic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11_MR_Gestion_Recursos_Fisic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12_MR_Sistemas_Seguridad_Informac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14_MR_Gestion%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5%20Mapa_Riesgos%20Elecciones%20de%20Servidores%20P&#250;bl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lina%20Avila/Documents/4%20Riesgos/Mapas%20de%20Riesgos%20Guia%20V01/6%20Mapa_%20Riesgos%20Control%20Pol&#237;ti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8%20Mapa_Riesgos%20Talento%20Huma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lina%20Avila/Documents/4%20Riesgos/Mapas%20de%20Riesgos%20Guia%20V01/9%20Mapa_Riesgos%20Gesti&#243;n%20Jur&#237;dica_V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11%20Mapa_Riesgos%20Gesti&#243;n%20de%20Recursos%20F&#237;sic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12%20Mapa_%20Riesgos%20Sistemas%20y%20Seguridad%20de%20la%20Inform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print\planeacion_sig\Users\Carolina%20Avila\Documents\4%20Riesgos\Mapas%20de%20Riesgos%20Guia%20V01\14%20Mapa_Riesgos%20Gesti&#243;n%20Financie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Administraci&#243;n%20de%20Riesgos\2021\Mapas%20de%20riesgos%20por%20proceso\Guia%2002\15_MR_Evaluacion%20inde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refreshError="1"/>
      <sheetData sheetId="1" refreshError="1"/>
      <sheetData sheetId="2" refreshError="1"/>
      <sheetData sheetId="3" refreshError="1"/>
      <sheetData sheetId="4" refreshError="1">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Proceso"/>
      <sheetName val="M1. Cal_Probab_Impac_Gestion"/>
      <sheetName val="M2.Cal_Prob_Impacto_Corrupc"/>
      <sheetName val="M3. Cal_Probab_Impac_Seguri"/>
      <sheetName val="Listas"/>
    </sheetNames>
    <sheetDataSet>
      <sheetData sheetId="0"/>
      <sheetData sheetId="1"/>
      <sheetData sheetId="2"/>
      <sheetData sheetId="3"/>
      <sheetData sheetId="4">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R107"/>
  <sheetViews>
    <sheetView tabSelected="1" topLeftCell="A30" zoomScale="50" zoomScaleNormal="50" workbookViewId="0">
      <selection activeCell="B39" sqref="B39:B46"/>
    </sheetView>
  </sheetViews>
  <sheetFormatPr baseColWidth="10" defaultColWidth="11.44140625" defaultRowHeight="13.8" x14ac:dyDescent="0.3"/>
  <cols>
    <col min="1" max="1" width="14.33203125" style="6" customWidth="1"/>
    <col min="2" max="2" width="19" style="6" customWidth="1"/>
    <col min="3" max="4" width="25" style="6" customWidth="1"/>
    <col min="5" max="5" width="17.33203125" style="6" customWidth="1"/>
    <col min="6" max="6" width="33" style="6" customWidth="1"/>
    <col min="7" max="7" width="34" style="6" customWidth="1"/>
    <col min="8" max="8" width="23.88671875" style="6" customWidth="1"/>
    <col min="9" max="9" width="12.6640625" style="6" customWidth="1"/>
    <col min="10" max="10" width="16.88671875" style="9" customWidth="1"/>
    <col min="11" max="11" width="15.6640625" style="9" customWidth="1"/>
    <col min="12" max="12" width="5.44140625" style="6" customWidth="1"/>
    <col min="13" max="13" width="12.109375" style="6" customWidth="1"/>
    <col min="14" max="14" width="58.33203125" style="6" customWidth="1"/>
    <col min="15" max="15" width="13.44140625" style="6" hidden="1" customWidth="1"/>
    <col min="16" max="16" width="14.109375" style="6" hidden="1" customWidth="1"/>
    <col min="17" max="17" width="18.109375" style="6" hidden="1" customWidth="1"/>
    <col min="18" max="31" width="12.5546875" style="6" hidden="1" customWidth="1"/>
    <col min="32" max="32" width="13.88671875" style="6" hidden="1" customWidth="1"/>
    <col min="33" max="33" width="12.44140625" style="6" hidden="1" customWidth="1"/>
    <col min="34" max="35" width="16.5546875" style="6" hidden="1" customWidth="1"/>
    <col min="36" max="36" width="5.5546875" style="6" customWidth="1"/>
    <col min="37" max="37" width="25.33203125" style="6" customWidth="1"/>
    <col min="38" max="38" width="20.6640625" style="6" customWidth="1"/>
    <col min="39" max="40" width="27" style="6" customWidth="1"/>
    <col min="41" max="42" width="20.6640625" style="6" customWidth="1"/>
    <col min="43" max="43" width="11.44140625" style="6"/>
    <col min="44" max="44" width="0" style="6" hidden="1" customWidth="1"/>
    <col min="45" max="16384" width="11.44140625" style="6"/>
  </cols>
  <sheetData>
    <row r="1" spans="1:44" ht="30" customHeight="1" x14ac:dyDescent="0.3">
      <c r="A1" s="120"/>
      <c r="B1" s="36"/>
      <c r="C1" s="126" t="s">
        <v>98</v>
      </c>
      <c r="D1" s="126"/>
      <c r="E1" s="126"/>
      <c r="F1" s="126"/>
      <c r="G1" s="126"/>
      <c r="H1" s="126"/>
      <c r="I1" s="126"/>
      <c r="J1" s="126"/>
      <c r="K1" s="126"/>
      <c r="O1" s="5"/>
      <c r="P1" s="5"/>
      <c r="Q1" s="5"/>
      <c r="R1" s="5"/>
      <c r="S1" s="5"/>
      <c r="T1" s="5"/>
      <c r="U1" s="5"/>
      <c r="V1" s="5"/>
      <c r="W1" s="5"/>
      <c r="X1" s="5"/>
      <c r="Y1" s="5"/>
      <c r="Z1" s="5"/>
      <c r="AA1" s="5"/>
      <c r="AB1" s="5"/>
      <c r="AC1" s="5"/>
      <c r="AD1" s="5"/>
      <c r="AE1" s="5"/>
      <c r="AF1" s="5"/>
      <c r="AG1" s="5"/>
      <c r="AH1" s="5"/>
      <c r="AI1" s="5"/>
      <c r="AJ1" s="5"/>
      <c r="AK1" s="5"/>
      <c r="AL1" s="5"/>
      <c r="AM1" s="5"/>
      <c r="AN1" s="5"/>
      <c r="AO1" s="11"/>
      <c r="AP1" s="11"/>
    </row>
    <row r="2" spans="1:44" ht="30" customHeight="1" x14ac:dyDescent="0.3">
      <c r="A2" s="120"/>
      <c r="B2" s="54"/>
      <c r="C2" s="170" t="s">
        <v>266</v>
      </c>
      <c r="D2" s="171"/>
      <c r="E2" s="171"/>
      <c r="F2" s="171"/>
      <c r="G2" s="171"/>
      <c r="H2" s="171"/>
      <c r="I2" s="171"/>
      <c r="J2" s="171"/>
      <c r="K2" s="172"/>
      <c r="O2" s="5"/>
      <c r="P2" s="5"/>
      <c r="Q2" s="5"/>
      <c r="R2" s="5"/>
      <c r="S2" s="5"/>
      <c r="T2" s="5"/>
      <c r="U2" s="5"/>
      <c r="V2" s="5"/>
      <c r="W2" s="5"/>
      <c r="X2" s="5"/>
      <c r="Y2" s="5"/>
      <c r="Z2" s="5"/>
      <c r="AA2" s="5"/>
      <c r="AB2" s="5"/>
      <c r="AC2" s="5"/>
      <c r="AD2" s="5"/>
      <c r="AE2" s="5"/>
      <c r="AF2" s="5"/>
      <c r="AG2" s="5"/>
      <c r="AH2" s="5"/>
      <c r="AI2" s="5"/>
      <c r="AJ2" s="5"/>
      <c r="AK2" s="5"/>
      <c r="AL2" s="5"/>
      <c r="AM2" s="5"/>
      <c r="AN2" s="5"/>
      <c r="AO2" s="11"/>
      <c r="AP2" s="11"/>
    </row>
    <row r="3" spans="1:44" ht="30" customHeight="1" x14ac:dyDescent="0.3">
      <c r="A3" s="120"/>
      <c r="B3" s="55"/>
      <c r="C3" s="173"/>
      <c r="D3" s="174"/>
      <c r="E3" s="174"/>
      <c r="F3" s="174"/>
      <c r="G3" s="174"/>
      <c r="H3" s="174"/>
      <c r="I3" s="174"/>
      <c r="J3" s="174"/>
      <c r="K3" s="175"/>
      <c r="O3" s="5"/>
      <c r="P3" s="5"/>
      <c r="Q3" s="5"/>
      <c r="R3" s="5"/>
      <c r="S3" s="5"/>
      <c r="T3" s="5"/>
      <c r="U3" s="5"/>
      <c r="V3" s="5"/>
      <c r="W3" s="5"/>
      <c r="X3" s="5"/>
      <c r="Y3" s="5"/>
      <c r="Z3" s="5"/>
      <c r="AA3" s="5"/>
      <c r="AB3" s="5"/>
      <c r="AC3" s="5"/>
      <c r="AD3" s="5"/>
      <c r="AE3" s="5"/>
      <c r="AF3" s="5"/>
      <c r="AG3" s="5"/>
      <c r="AH3" s="5"/>
      <c r="AI3" s="5"/>
      <c r="AJ3" s="5"/>
      <c r="AK3" s="5"/>
      <c r="AL3" s="5"/>
      <c r="AM3" s="5"/>
      <c r="AN3" s="5"/>
      <c r="AO3" s="11"/>
      <c r="AP3" s="11"/>
    </row>
    <row r="4" spans="1:44" x14ac:dyDescent="0.3">
      <c r="A4" s="7"/>
      <c r="B4" s="35"/>
      <c r="C4" s="8"/>
      <c r="D4" s="8"/>
      <c r="E4" s="8"/>
      <c r="F4" s="8"/>
      <c r="G4" s="8"/>
      <c r="J4" s="6"/>
      <c r="K4" s="6"/>
      <c r="Q4" s="5"/>
      <c r="R4" s="5"/>
      <c r="S4" s="5"/>
      <c r="T4" s="5"/>
      <c r="U4" s="5"/>
      <c r="V4" s="5"/>
      <c r="W4" s="5"/>
      <c r="X4" s="5"/>
      <c r="Y4" s="5"/>
      <c r="Z4" s="5"/>
      <c r="AA4" s="5"/>
      <c r="AB4" s="5"/>
      <c r="AC4" s="5"/>
      <c r="AD4" s="5"/>
      <c r="AE4" s="5"/>
      <c r="AF4" s="5"/>
      <c r="AG4" s="5"/>
      <c r="AH4" s="5"/>
      <c r="AI4" s="5"/>
      <c r="AJ4" s="5"/>
      <c r="AK4" s="5"/>
      <c r="AL4" s="5"/>
      <c r="AM4" s="5"/>
      <c r="AN4" s="5"/>
      <c r="AO4" s="11"/>
      <c r="AP4" s="11"/>
    </row>
    <row r="5" spans="1:44" s="9" customFormat="1" x14ac:dyDescent="0.3">
      <c r="A5" s="7"/>
      <c r="B5" s="35"/>
      <c r="C5" s="7"/>
      <c r="D5" s="7"/>
      <c r="E5" s="7"/>
      <c r="F5" s="7"/>
      <c r="G5" s="7"/>
      <c r="H5" s="7"/>
      <c r="I5" s="7"/>
      <c r="J5" s="7"/>
      <c r="K5" s="7"/>
      <c r="L5" s="7"/>
      <c r="M5" s="7"/>
      <c r="N5" s="7"/>
      <c r="O5" s="7"/>
      <c r="P5" s="7"/>
      <c r="Q5" s="7"/>
      <c r="R5" s="7"/>
      <c r="S5" s="7"/>
      <c r="T5" s="7"/>
      <c r="U5" s="7"/>
      <c r="V5" s="7"/>
      <c r="W5" s="7"/>
      <c r="X5" s="179"/>
      <c r="Y5" s="179"/>
      <c r="Z5" s="179"/>
      <c r="AA5" s="179"/>
      <c r="AB5" s="179"/>
      <c r="AC5" s="7"/>
      <c r="AD5" s="7"/>
      <c r="AE5" s="7"/>
      <c r="AF5" s="7"/>
      <c r="AG5" s="5"/>
      <c r="AH5" s="5"/>
      <c r="AI5" s="5"/>
      <c r="AJ5" s="5"/>
      <c r="AK5" s="5"/>
      <c r="AL5" s="5"/>
    </row>
    <row r="6" spans="1:44" s="9" customFormat="1" x14ac:dyDescent="0.3">
      <c r="A6" s="7"/>
      <c r="B6" s="3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5"/>
      <c r="AH6" s="5"/>
      <c r="AI6" s="5"/>
      <c r="AJ6" s="5"/>
      <c r="AK6" s="5"/>
      <c r="AL6" s="5"/>
    </row>
    <row r="7" spans="1:44" s="9" customFormat="1" x14ac:dyDescent="0.3">
      <c r="O7" s="33"/>
      <c r="P7" s="33"/>
      <c r="Q7" s="33"/>
      <c r="R7" s="33"/>
      <c r="S7" s="33"/>
      <c r="T7" s="33"/>
      <c r="U7" s="33"/>
      <c r="V7" s="33"/>
      <c r="W7" s="33"/>
      <c r="X7" s="33"/>
      <c r="Y7" s="33"/>
      <c r="Z7" s="33"/>
      <c r="AA7" s="33"/>
      <c r="AB7" s="33"/>
      <c r="AC7" s="33"/>
      <c r="AD7" s="33"/>
      <c r="AE7" s="33"/>
      <c r="AF7" s="33"/>
      <c r="AG7" s="5"/>
      <c r="AH7" s="5"/>
      <c r="AI7" s="5"/>
      <c r="AJ7" s="5"/>
      <c r="AK7" s="5"/>
      <c r="AL7" s="5"/>
    </row>
    <row r="8" spans="1:44" ht="15" customHeight="1" x14ac:dyDescent="0.3">
      <c r="C8" s="166" t="s">
        <v>12</v>
      </c>
      <c r="D8" s="167"/>
      <c r="E8" s="164" t="s">
        <v>13</v>
      </c>
      <c r="F8" s="164"/>
      <c r="G8" s="164"/>
      <c r="H8" s="164"/>
      <c r="I8" s="165"/>
      <c r="J8" s="168" t="s">
        <v>126</v>
      </c>
      <c r="K8" s="169"/>
      <c r="L8" s="169"/>
      <c r="M8" s="169"/>
      <c r="N8" s="176" t="s">
        <v>14</v>
      </c>
      <c r="O8" s="176"/>
      <c r="P8" s="176"/>
      <c r="Q8" s="176"/>
      <c r="R8" s="176"/>
      <c r="S8" s="176"/>
      <c r="T8" s="176"/>
      <c r="U8" s="176"/>
      <c r="V8" s="176"/>
      <c r="W8" s="176"/>
      <c r="X8" s="176"/>
      <c r="Y8" s="176"/>
      <c r="Z8" s="176"/>
      <c r="AA8" s="176"/>
      <c r="AB8" s="176"/>
      <c r="AC8" s="176"/>
      <c r="AD8" s="176"/>
      <c r="AE8" s="176"/>
      <c r="AF8" s="176"/>
      <c r="AG8" s="176"/>
      <c r="AH8" s="176"/>
      <c r="AI8" s="176"/>
      <c r="AJ8" s="176"/>
      <c r="AK8" s="177"/>
      <c r="AL8" s="178" t="s">
        <v>127</v>
      </c>
      <c r="AM8" s="178"/>
      <c r="AN8" s="178"/>
      <c r="AO8" s="178"/>
      <c r="AP8" s="178"/>
    </row>
    <row r="9" spans="1:44" s="10" customFormat="1" ht="33" customHeight="1" x14ac:dyDescent="0.3">
      <c r="A9" s="180" t="s">
        <v>100</v>
      </c>
      <c r="B9" s="39"/>
      <c r="C9" s="161" t="s">
        <v>43</v>
      </c>
      <c r="D9" s="161"/>
      <c r="E9" s="161" t="s">
        <v>129</v>
      </c>
      <c r="F9" s="161" t="s">
        <v>132</v>
      </c>
      <c r="G9" s="161" t="s">
        <v>125</v>
      </c>
      <c r="H9" s="161" t="s">
        <v>117</v>
      </c>
      <c r="I9" s="161" t="s">
        <v>42</v>
      </c>
      <c r="J9" s="163" t="s">
        <v>17</v>
      </c>
      <c r="K9" s="163" t="s">
        <v>18</v>
      </c>
      <c r="L9" s="163" t="s">
        <v>6</v>
      </c>
      <c r="M9" s="163"/>
      <c r="N9" s="161" t="s">
        <v>7</v>
      </c>
      <c r="O9" s="161" t="s">
        <v>8</v>
      </c>
      <c r="P9" s="161" t="s">
        <v>78</v>
      </c>
      <c r="Q9" s="161" t="s">
        <v>79</v>
      </c>
      <c r="R9" s="161" t="s">
        <v>27</v>
      </c>
      <c r="S9" s="161"/>
      <c r="T9" s="161"/>
      <c r="U9" s="161"/>
      <c r="V9" s="161"/>
      <c r="W9" s="161"/>
      <c r="X9" s="161"/>
      <c r="Y9" s="161"/>
      <c r="Z9" s="161"/>
      <c r="AA9" s="161"/>
      <c r="AB9" s="161"/>
      <c r="AC9" s="161"/>
      <c r="AD9" s="161"/>
      <c r="AE9" s="161"/>
      <c r="AF9" s="162" t="s">
        <v>36</v>
      </c>
      <c r="AG9" s="162" t="s">
        <v>77</v>
      </c>
      <c r="AH9" s="161" t="s">
        <v>48</v>
      </c>
      <c r="AI9" s="161" t="s">
        <v>49</v>
      </c>
      <c r="AJ9" s="161" t="s">
        <v>9</v>
      </c>
      <c r="AK9" s="161"/>
      <c r="AL9" s="161" t="s">
        <v>10</v>
      </c>
      <c r="AM9" s="161" t="s">
        <v>128</v>
      </c>
      <c r="AN9" s="161"/>
      <c r="AO9" s="161"/>
      <c r="AP9" s="161"/>
      <c r="AR9" s="10" t="s">
        <v>1</v>
      </c>
    </row>
    <row r="10" spans="1:44" s="10" customFormat="1" ht="106.5" customHeight="1" x14ac:dyDescent="0.3">
      <c r="A10" s="181" t="s">
        <v>47</v>
      </c>
      <c r="B10" s="40" t="s">
        <v>5</v>
      </c>
      <c r="C10" s="32" t="s">
        <v>124</v>
      </c>
      <c r="D10" s="32" t="s">
        <v>131</v>
      </c>
      <c r="E10" s="161"/>
      <c r="F10" s="161"/>
      <c r="G10" s="161"/>
      <c r="H10" s="161"/>
      <c r="I10" s="161"/>
      <c r="J10" s="163"/>
      <c r="K10" s="163"/>
      <c r="L10" s="163"/>
      <c r="M10" s="163"/>
      <c r="N10" s="161"/>
      <c r="O10" s="161"/>
      <c r="P10" s="161"/>
      <c r="Q10" s="161"/>
      <c r="R10" s="161" t="s">
        <v>55</v>
      </c>
      <c r="S10" s="161"/>
      <c r="T10" s="161" t="s">
        <v>56</v>
      </c>
      <c r="U10" s="161"/>
      <c r="V10" s="161" t="s">
        <v>57</v>
      </c>
      <c r="W10" s="161"/>
      <c r="X10" s="161" t="s">
        <v>58</v>
      </c>
      <c r="Y10" s="161"/>
      <c r="Z10" s="161" t="s">
        <v>59</v>
      </c>
      <c r="AA10" s="161"/>
      <c r="AB10" s="161" t="s">
        <v>60</v>
      </c>
      <c r="AC10" s="161"/>
      <c r="AD10" s="161" t="s">
        <v>61</v>
      </c>
      <c r="AE10" s="161"/>
      <c r="AF10" s="162"/>
      <c r="AG10" s="162"/>
      <c r="AH10" s="161"/>
      <c r="AI10" s="161"/>
      <c r="AJ10" s="161"/>
      <c r="AK10" s="161"/>
      <c r="AL10" s="161"/>
      <c r="AM10" s="34" t="s">
        <v>99</v>
      </c>
      <c r="AN10" s="34" t="s">
        <v>86</v>
      </c>
      <c r="AO10" s="34" t="s">
        <v>26</v>
      </c>
      <c r="AP10" s="34" t="s">
        <v>87</v>
      </c>
      <c r="AR10" s="10" t="s">
        <v>2</v>
      </c>
    </row>
    <row r="11" spans="1:44" ht="244.5" customHeight="1" x14ac:dyDescent="0.3">
      <c r="A11" s="36">
        <v>1</v>
      </c>
      <c r="B11" s="37" t="s">
        <v>102</v>
      </c>
      <c r="C11" s="43"/>
      <c r="D11" s="43" t="s">
        <v>89</v>
      </c>
      <c r="E11" s="43" t="s">
        <v>134</v>
      </c>
      <c r="F11" s="44" t="s">
        <v>137</v>
      </c>
      <c r="G11" s="50" t="s">
        <v>138</v>
      </c>
      <c r="H11" s="58" t="s">
        <v>139</v>
      </c>
      <c r="I11" s="51" t="s">
        <v>140</v>
      </c>
      <c r="J11" s="41">
        <v>2</v>
      </c>
      <c r="K11" s="41">
        <v>3</v>
      </c>
      <c r="L11" s="46">
        <f>J11*K11</f>
        <v>6</v>
      </c>
      <c r="M11" s="42" t="str">
        <f>IF(AND(J11=1,K11=1),"BAJO",IF(AND(J11=1,K11=2),"BAJO",IF(AND(J11=2,K11=1),"BAJO",IF(AND(J11=2,K11=2),"BAJO",IF(AND(J11=3,K11=1),"BAJO",IF(AND(J11=1,K11=3),"MODERADO",IF(AND(J11=2,K11=3),"MODERADO",IF(AND(J11=3,K11=2),"MODERADO",IF(AND(J11=4,K11=1),"MODERADO",IF(AND(J11=5,K11=1),"ALTO",IF(AND(J11=4,K11=2),"ALTO",IF(AND(J11=3,K11=3),"ALTO",IF(AND(J11=2,K11=4),"ALTO",IF(AND(J11=1,K11=4),"ALTO",IF(AND(J11=5,K11=2),"ALTO",IF(AND(J11=4,K11=3),"ALTO","EXTREMO"))))))))))))))))</f>
        <v>MODERADO</v>
      </c>
      <c r="N11" s="51" t="s">
        <v>141</v>
      </c>
      <c r="O11" s="41" t="s">
        <v>0</v>
      </c>
      <c r="P11" s="43" t="s">
        <v>118</v>
      </c>
      <c r="Q11" s="43" t="s">
        <v>120</v>
      </c>
      <c r="R11" s="52" t="s">
        <v>112</v>
      </c>
      <c r="S11" s="48">
        <f>IF(R11="Asignado",[1]Listas!$C$30,[1]Listas!$C$31)</f>
        <v>15</v>
      </c>
      <c r="T11" s="52" t="s">
        <v>63</v>
      </c>
      <c r="U11" s="48">
        <f>IF(T11="Adecuado",[1]Listas!$C$32,[1]Listas!$C$33)</f>
        <v>15</v>
      </c>
      <c r="V11" s="52" t="s">
        <v>65</v>
      </c>
      <c r="W11" s="48">
        <f>IF(V11="Oportuna",[1]Listas!$C$34,[1]Listas!$C$35)</f>
        <v>15</v>
      </c>
      <c r="X11" s="52" t="s">
        <v>73</v>
      </c>
      <c r="Y11" s="48">
        <f>IF(X11="Prevenir",[1]Listas!$C$36,IF(X11="Detectar",[1]Listas!$C$37,[1]Listas!$C$38))</f>
        <v>15</v>
      </c>
      <c r="Z11" s="52" t="s">
        <v>68</v>
      </c>
      <c r="AA11" s="48">
        <f>IF(Z11="Confiable",[1]Listas!$C$39,[1]Listas!$C$40)</f>
        <v>15</v>
      </c>
      <c r="AB11" s="52" t="s">
        <v>70</v>
      </c>
      <c r="AC11" s="48">
        <f>IF(AB11="Se investigan y resuelven oportunamente",[1]Listas!$C$41,[1]Listas!$C$42)</f>
        <v>15</v>
      </c>
      <c r="AD11" s="52" t="s">
        <v>72</v>
      </c>
      <c r="AE11" s="48">
        <f>IF(AD11="Completa",[1]Listas!$C$43,IF(AD11="Incompleta",[1]Listas!$C$44,[1]Listas!$C$45))</f>
        <v>10</v>
      </c>
      <c r="AF11" s="41">
        <f>S11+U11+W11+Y11+AA11+AC11+AE11</f>
        <v>100</v>
      </c>
      <c r="AG11" s="41">
        <f>AVERAGE(AF11:AF11)</f>
        <v>100</v>
      </c>
      <c r="AH11" s="41">
        <v>1</v>
      </c>
      <c r="AI11" s="41">
        <v>3</v>
      </c>
      <c r="AJ11" s="46">
        <f>AH11*AI11</f>
        <v>3</v>
      </c>
      <c r="AK11" s="42" t="str">
        <f>IF(AND(AH11=1,AI11=1),"BAJO",IF(AND(AH11=1,AI11=2),"BAJO",IF(AND(AH11=2,AI11=1),"BAJO",IF(AND(AH11=2,AI11=2),"BAJO",IF(AND(AH11=3,AI11=1),"BAJO",IF(AND(AH11=1,AI11=3),"MODERADO",IF(AND(AH11=2,AI11=3),"MODERADO",IF(AND(AH11=3,AI11=2),"MODERADO",IF(AND(AH11=4,AI11=1),"MODERADO",IF(AND(AH11=5,AI11=1),"ALTO",IF(AND(AH11=4,AI11=2),"ALTO",IF(AND(AH11=3,AI11=3),"ALTO",IF(AND(AH11=2,AI11=4),"ALTO",IF(AND(AH11=1,AI11=4),"ALTO",IF(AND(AH11=5,AI11=2),"ALTO",IF(AND(AH11=4,AI11=3),"ALTO","EXTREMO"))))))))))))))))</f>
        <v>MODERADO</v>
      </c>
      <c r="AL11" s="52" t="s">
        <v>95</v>
      </c>
      <c r="AM11" s="51" t="s">
        <v>142</v>
      </c>
      <c r="AN11" s="51" t="s">
        <v>143</v>
      </c>
      <c r="AO11" s="51" t="s">
        <v>144</v>
      </c>
      <c r="AP11" s="53" t="s">
        <v>145</v>
      </c>
      <c r="AR11" s="97" t="s">
        <v>265</v>
      </c>
    </row>
    <row r="12" spans="1:44" ht="199.5" customHeight="1" x14ac:dyDescent="0.3">
      <c r="A12" s="105">
        <v>2</v>
      </c>
      <c r="B12" s="101" t="s">
        <v>104</v>
      </c>
      <c r="C12" s="69" t="s">
        <v>50</v>
      </c>
      <c r="D12" s="150"/>
      <c r="E12" s="101" t="s">
        <v>134</v>
      </c>
      <c r="F12" s="56" t="s">
        <v>146</v>
      </c>
      <c r="G12" s="152" t="s">
        <v>147</v>
      </c>
      <c r="H12" s="154" t="s">
        <v>135</v>
      </c>
      <c r="I12" s="147" t="s">
        <v>140</v>
      </c>
      <c r="J12" s="135">
        <v>1</v>
      </c>
      <c r="K12" s="105">
        <v>4</v>
      </c>
      <c r="L12" s="156">
        <f t="shared" ref="L12" si="0">J12*K12</f>
        <v>4</v>
      </c>
      <c r="M12" s="159" t="str">
        <f t="shared" ref="M12" si="1">IF(AND(J12=1,K12=1),"BAJO",IF(AND(J12=1,K12=2),"BAJO",IF(AND(J12=2,K12=1),"BAJO",IF(AND(J12=2,K12=2),"BAJO",IF(AND(J12=3,K12=1),"BAJO",IF(AND(J12=1,K12=3),"MODERADO",IF(AND(J12=2,K12=3),"MODERADO",IF(AND(J12=3,K12=2),"MODERADO",IF(AND(J12=4,K12=1),"MODERADO",IF(AND(J12=5,K12=1),"ALTO",IF(AND(J12=4,K12=2),"ALTO",IF(AND(J12=3,K12=3),"ALTO",IF(AND(J12=2,K12=4),"ALTO",IF(AND(J12=1,K12=4),"ALTO",IF(AND(J12=5,K12=2),"ALTO",IF(AND(J12=4,K12=3),"ALTO","EXTREMO"))))))))))))))))</f>
        <v>ALTO</v>
      </c>
      <c r="N12" s="152" t="s">
        <v>148</v>
      </c>
      <c r="O12" s="135" t="s">
        <v>0</v>
      </c>
      <c r="P12" s="150" t="s">
        <v>118</v>
      </c>
      <c r="Q12" s="150" t="s">
        <v>120</v>
      </c>
      <c r="R12" s="150" t="s">
        <v>112</v>
      </c>
      <c r="S12" s="150">
        <v>15</v>
      </c>
      <c r="T12" s="150" t="s">
        <v>63</v>
      </c>
      <c r="U12" s="150">
        <v>15</v>
      </c>
      <c r="V12" s="150" t="s">
        <v>65</v>
      </c>
      <c r="W12" s="150">
        <v>15</v>
      </c>
      <c r="X12" s="150" t="s">
        <v>73</v>
      </c>
      <c r="Y12" s="150">
        <v>15</v>
      </c>
      <c r="Z12" s="150" t="s">
        <v>68</v>
      </c>
      <c r="AA12" s="150">
        <v>15</v>
      </c>
      <c r="AB12" s="150" t="s">
        <v>70</v>
      </c>
      <c r="AC12" s="150">
        <v>15</v>
      </c>
      <c r="AD12" s="150" t="s">
        <v>72</v>
      </c>
      <c r="AE12" s="150">
        <v>10</v>
      </c>
      <c r="AF12" s="135">
        <v>100</v>
      </c>
      <c r="AG12" s="135">
        <v>100</v>
      </c>
      <c r="AH12" s="135">
        <v>1</v>
      </c>
      <c r="AI12" s="105">
        <v>4</v>
      </c>
      <c r="AJ12" s="121">
        <f t="shared" ref="AJ12" si="2">AH12*AI12</f>
        <v>4</v>
      </c>
      <c r="AK12" s="100" t="str">
        <f t="shared" ref="AK12" si="3">IF(AND(AH12=1,AI12=1),"BAJO",IF(AND(AH12=1,AI12=2),"BAJO",IF(AND(AH12=2,AI12=1),"BAJO",IF(AND(AH12=2,AI12=2),"BAJO",IF(AND(AH12=3,AI12=1),"BAJO",IF(AND(AH12=1,AI12=3),"MODERADO",IF(AND(AH12=2,AI12=3),"MODERADO",IF(AND(AH12=3,AI12=2),"MODERADO",IF(AND(AH12=4,AI12=1),"MODERADO",IF(AND(AH12=5,AI12=1),"ALTO",IF(AND(AH12=4,AI12=2),"ALTO",IF(AND(AH12=3,AI12=3),"ALTO",IF(AND(AH12=2,AI12=4),"ALTO",IF(AND(AH12=1,AI12=4),"ALTO",IF(AND(AH12=5,AI12=2),"ALTO",IF(AND(AH12=4,AI12=3),"ALTO","EXTREMO"))))))))))))))))</f>
        <v>ALTO</v>
      </c>
      <c r="AL12" s="101" t="s">
        <v>95</v>
      </c>
      <c r="AM12" s="101" t="s">
        <v>149</v>
      </c>
      <c r="AN12" s="101" t="s">
        <v>150</v>
      </c>
      <c r="AO12" s="101" t="s">
        <v>151</v>
      </c>
      <c r="AP12" s="101" t="s">
        <v>152</v>
      </c>
    </row>
    <row r="13" spans="1:44" ht="14.25" customHeight="1" x14ac:dyDescent="0.3">
      <c r="A13" s="119"/>
      <c r="B13" s="110"/>
      <c r="C13" s="69" t="s">
        <v>52</v>
      </c>
      <c r="D13" s="150"/>
      <c r="E13" s="110"/>
      <c r="F13" s="57" t="s">
        <v>153</v>
      </c>
      <c r="G13" s="152"/>
      <c r="H13" s="154"/>
      <c r="I13" s="147"/>
      <c r="J13" s="135"/>
      <c r="K13" s="119"/>
      <c r="L13" s="157"/>
      <c r="M13" s="182"/>
      <c r="N13" s="152"/>
      <c r="O13" s="135"/>
      <c r="P13" s="150"/>
      <c r="Q13" s="150"/>
      <c r="R13" s="150"/>
      <c r="S13" s="183"/>
      <c r="T13" s="183"/>
      <c r="U13" s="183"/>
      <c r="V13" s="183"/>
      <c r="W13" s="150"/>
      <c r="X13" s="150"/>
      <c r="Y13" s="150"/>
      <c r="Z13" s="150"/>
      <c r="AA13" s="150"/>
      <c r="AB13" s="150"/>
      <c r="AC13" s="150"/>
      <c r="AD13" s="150"/>
      <c r="AE13" s="150"/>
      <c r="AF13" s="135"/>
      <c r="AG13" s="135"/>
      <c r="AH13" s="135"/>
      <c r="AI13" s="119"/>
      <c r="AJ13" s="156"/>
      <c r="AK13" s="159"/>
      <c r="AL13" s="101"/>
      <c r="AM13" s="101"/>
      <c r="AN13" s="110"/>
      <c r="AO13" s="101"/>
      <c r="AP13" s="101"/>
    </row>
    <row r="14" spans="1:44" ht="85.5" customHeight="1" x14ac:dyDescent="0.3">
      <c r="A14" s="119"/>
      <c r="B14" s="110"/>
      <c r="C14" s="69" t="s">
        <v>52</v>
      </c>
      <c r="D14" s="151"/>
      <c r="E14" s="102"/>
      <c r="F14" s="57" t="s">
        <v>154</v>
      </c>
      <c r="G14" s="153"/>
      <c r="H14" s="155"/>
      <c r="I14" s="149"/>
      <c r="J14" s="137"/>
      <c r="K14" s="106"/>
      <c r="L14" s="158"/>
      <c r="M14" s="160"/>
      <c r="N14" s="153"/>
      <c r="O14" s="137"/>
      <c r="P14" s="151"/>
      <c r="Q14" s="151"/>
      <c r="R14" s="151"/>
      <c r="S14" s="151"/>
      <c r="T14" s="151"/>
      <c r="U14" s="151"/>
      <c r="V14" s="151"/>
      <c r="W14" s="151"/>
      <c r="X14" s="151"/>
      <c r="Y14" s="151"/>
      <c r="Z14" s="151"/>
      <c r="AA14" s="151"/>
      <c r="AB14" s="151"/>
      <c r="AC14" s="151"/>
      <c r="AD14" s="151"/>
      <c r="AE14" s="151"/>
      <c r="AF14" s="137"/>
      <c r="AG14" s="137"/>
      <c r="AH14" s="137"/>
      <c r="AI14" s="106"/>
      <c r="AJ14" s="158"/>
      <c r="AK14" s="160"/>
      <c r="AL14" s="102"/>
      <c r="AM14" s="102"/>
      <c r="AN14" s="102"/>
      <c r="AO14" s="102"/>
      <c r="AP14" s="102"/>
    </row>
    <row r="15" spans="1:44" ht="185.25" customHeight="1" x14ac:dyDescent="0.3">
      <c r="A15" s="119"/>
      <c r="B15" s="110"/>
      <c r="C15" s="43" t="s">
        <v>52</v>
      </c>
      <c r="D15" s="43"/>
      <c r="E15" s="47" t="s">
        <v>134</v>
      </c>
      <c r="F15" s="49" t="s">
        <v>155</v>
      </c>
      <c r="G15" s="63" t="s">
        <v>156</v>
      </c>
      <c r="H15" s="66" t="s">
        <v>157</v>
      </c>
      <c r="I15" s="56" t="s">
        <v>140</v>
      </c>
      <c r="J15" s="45">
        <v>1</v>
      </c>
      <c r="K15" s="41">
        <v>4</v>
      </c>
      <c r="L15" s="46">
        <f t="shared" ref="L15:L16" si="4">J15*K15</f>
        <v>4</v>
      </c>
      <c r="M15" s="42" t="str">
        <f t="shared" ref="M15:M16" si="5">IF(AND(J15=1,K15=1),"BAJO",IF(AND(J15=1,K15=2),"BAJO",IF(AND(J15=2,K15=1),"BAJO",IF(AND(J15=2,K15=2),"BAJO",IF(AND(J15=3,K15=1),"BAJO",IF(AND(J15=1,K15=3),"MODERADO",IF(AND(J15=2,K15=3),"MODERADO",IF(AND(J15=3,K15=2),"MODERADO",IF(AND(J15=4,K15=1),"MODERADO",IF(AND(J15=5,K15=1),"ALTO",IF(AND(J15=4,K15=2),"ALTO",IF(AND(J15=3,K15=3),"ALTO",IF(AND(J15=2,K15=4),"ALTO",IF(AND(J15=1,K15=4),"ALTO",IF(AND(J15=5,K15=2),"ALTO",IF(AND(J15=4,K15=3),"ALTO","EXTREMO"))))))))))))))))</f>
        <v>ALTO</v>
      </c>
      <c r="N15" s="70" t="s">
        <v>158</v>
      </c>
      <c r="O15" s="41" t="s">
        <v>0</v>
      </c>
      <c r="P15" s="43" t="s">
        <v>118</v>
      </c>
      <c r="Q15" s="43" t="s">
        <v>120</v>
      </c>
      <c r="R15" s="52" t="s">
        <v>112</v>
      </c>
      <c r="S15" s="48">
        <v>15</v>
      </c>
      <c r="T15" s="52" t="s">
        <v>63</v>
      </c>
      <c r="U15" s="48">
        <v>15</v>
      </c>
      <c r="V15" s="52" t="s">
        <v>65</v>
      </c>
      <c r="W15" s="48">
        <v>15</v>
      </c>
      <c r="X15" s="52" t="s">
        <v>73</v>
      </c>
      <c r="Y15" s="48">
        <v>15</v>
      </c>
      <c r="Z15" s="52" t="s">
        <v>68</v>
      </c>
      <c r="AA15" s="48">
        <v>15</v>
      </c>
      <c r="AB15" s="52" t="s">
        <v>70</v>
      </c>
      <c r="AC15" s="48">
        <v>15</v>
      </c>
      <c r="AD15" s="52" t="s">
        <v>72</v>
      </c>
      <c r="AE15" s="48">
        <v>10</v>
      </c>
      <c r="AF15" s="41">
        <v>100</v>
      </c>
      <c r="AG15" s="48">
        <v>100</v>
      </c>
      <c r="AH15" s="45">
        <v>1</v>
      </c>
      <c r="AI15" s="41">
        <v>4</v>
      </c>
      <c r="AJ15" s="46">
        <f t="shared" ref="AJ15:AJ16" si="6">AH15*AI15</f>
        <v>4</v>
      </c>
      <c r="AK15" s="42" t="str">
        <f t="shared" ref="AK15:AK16" si="7">IF(AND(AH15=1,AI15=1),"BAJO",IF(AND(AH15=1,AI15=2),"BAJO",IF(AND(AH15=2,AI15=1),"BAJO",IF(AND(AH15=2,AI15=2),"BAJO",IF(AND(AH15=3,AI15=1),"BAJO",IF(AND(AH15=1,AI15=3),"MODERADO",IF(AND(AH15=2,AI15=3),"MODERADO",IF(AND(AH15=3,AI15=2),"MODERADO",IF(AND(AH15=4,AI15=1),"MODERADO",IF(AND(AH15=5,AI15=1),"ALTO",IF(AND(AH15=4,AI15=2),"ALTO",IF(AND(AH15=3,AI15=3),"ALTO",IF(AND(AH15=2,AI15=4),"ALTO",IF(AND(AH15=1,AI15=4),"ALTO",IF(AND(AH15=5,AI15=2),"ALTO",IF(AND(AH15=4,AI15=3),"ALTO","EXTREMO"))))))))))))))))</f>
        <v>ALTO</v>
      </c>
      <c r="AL15" s="48" t="s">
        <v>95</v>
      </c>
      <c r="AM15" s="51" t="s">
        <v>159</v>
      </c>
      <c r="AN15" s="51" t="s">
        <v>160</v>
      </c>
      <c r="AO15" s="51" t="s">
        <v>161</v>
      </c>
      <c r="AP15" s="51" t="s">
        <v>162</v>
      </c>
    </row>
    <row r="16" spans="1:44" ht="41.4" x14ac:dyDescent="0.3">
      <c r="A16" s="119"/>
      <c r="B16" s="110"/>
      <c r="C16" s="43" t="s">
        <v>52</v>
      </c>
      <c r="D16" s="101"/>
      <c r="E16" s="101" t="s">
        <v>134</v>
      </c>
      <c r="F16" s="71" t="s">
        <v>163</v>
      </c>
      <c r="G16" s="141" t="s">
        <v>164</v>
      </c>
      <c r="H16" s="144" t="s">
        <v>135</v>
      </c>
      <c r="I16" s="147" t="s">
        <v>140</v>
      </c>
      <c r="J16" s="135">
        <v>1</v>
      </c>
      <c r="K16" s="120">
        <v>4</v>
      </c>
      <c r="L16" s="121">
        <f t="shared" si="4"/>
        <v>4</v>
      </c>
      <c r="M16" s="100" t="str">
        <f t="shared" si="5"/>
        <v>ALTO</v>
      </c>
      <c r="N16" s="138" t="s">
        <v>165</v>
      </c>
      <c r="O16" s="105" t="s">
        <v>0</v>
      </c>
      <c r="P16" s="101" t="s">
        <v>118</v>
      </c>
      <c r="Q16" s="101" t="s">
        <v>120</v>
      </c>
      <c r="R16" s="98" t="s">
        <v>112</v>
      </c>
      <c r="S16" s="98">
        <v>15</v>
      </c>
      <c r="T16" s="98" t="s">
        <v>63</v>
      </c>
      <c r="U16" s="98">
        <v>15</v>
      </c>
      <c r="V16" s="98" t="s">
        <v>65</v>
      </c>
      <c r="W16" s="98">
        <v>15</v>
      </c>
      <c r="X16" s="98" t="s">
        <v>73</v>
      </c>
      <c r="Y16" s="98">
        <v>15</v>
      </c>
      <c r="Z16" s="98" t="s">
        <v>68</v>
      </c>
      <c r="AA16" s="98">
        <v>15</v>
      </c>
      <c r="AB16" s="98" t="s">
        <v>70</v>
      </c>
      <c r="AC16" s="98">
        <v>15</v>
      </c>
      <c r="AD16" s="98" t="s">
        <v>72</v>
      </c>
      <c r="AE16" s="98">
        <v>10</v>
      </c>
      <c r="AF16" s="105">
        <v>100</v>
      </c>
      <c r="AG16" s="98">
        <v>100</v>
      </c>
      <c r="AH16" s="135">
        <v>1</v>
      </c>
      <c r="AI16" s="120">
        <v>4</v>
      </c>
      <c r="AJ16" s="121">
        <f t="shared" si="6"/>
        <v>4</v>
      </c>
      <c r="AK16" s="100" t="str">
        <f t="shared" si="7"/>
        <v>ALTO</v>
      </c>
      <c r="AL16" s="98" t="s">
        <v>95</v>
      </c>
      <c r="AM16" s="101" t="s">
        <v>166</v>
      </c>
      <c r="AN16" s="101" t="s">
        <v>167</v>
      </c>
      <c r="AO16" s="101" t="s">
        <v>161</v>
      </c>
      <c r="AP16" s="101" t="s">
        <v>168</v>
      </c>
    </row>
    <row r="17" spans="1:42" ht="27.6" x14ac:dyDescent="0.3">
      <c r="A17" s="119"/>
      <c r="B17" s="110"/>
      <c r="C17" s="43" t="s">
        <v>52</v>
      </c>
      <c r="D17" s="110"/>
      <c r="E17" s="110"/>
      <c r="F17" s="71" t="s">
        <v>169</v>
      </c>
      <c r="G17" s="142"/>
      <c r="H17" s="145"/>
      <c r="I17" s="148"/>
      <c r="J17" s="136"/>
      <c r="K17" s="120"/>
      <c r="L17" s="121"/>
      <c r="M17" s="100"/>
      <c r="N17" s="139"/>
      <c r="O17" s="119"/>
      <c r="P17" s="110"/>
      <c r="Q17" s="110"/>
      <c r="R17" s="134"/>
      <c r="S17" s="134"/>
      <c r="T17" s="134"/>
      <c r="U17" s="134"/>
      <c r="V17" s="134"/>
      <c r="W17" s="134"/>
      <c r="X17" s="134"/>
      <c r="Y17" s="134"/>
      <c r="Z17" s="134"/>
      <c r="AA17" s="134"/>
      <c r="AB17" s="134"/>
      <c r="AC17" s="134"/>
      <c r="AD17" s="134"/>
      <c r="AE17" s="134"/>
      <c r="AF17" s="119"/>
      <c r="AG17" s="134"/>
      <c r="AH17" s="136"/>
      <c r="AI17" s="120"/>
      <c r="AJ17" s="121"/>
      <c r="AK17" s="100"/>
      <c r="AL17" s="134"/>
      <c r="AM17" s="110"/>
      <c r="AN17" s="110"/>
      <c r="AO17" s="110"/>
      <c r="AP17" s="110"/>
    </row>
    <row r="18" spans="1:42" ht="27.6" x14ac:dyDescent="0.3">
      <c r="A18" s="119"/>
      <c r="B18" s="110"/>
      <c r="C18" s="43" t="s">
        <v>52</v>
      </c>
      <c r="D18" s="110"/>
      <c r="E18" s="110"/>
      <c r="F18" s="49" t="s">
        <v>170</v>
      </c>
      <c r="G18" s="142"/>
      <c r="H18" s="145"/>
      <c r="I18" s="148"/>
      <c r="J18" s="136"/>
      <c r="K18" s="120"/>
      <c r="L18" s="121"/>
      <c r="M18" s="100"/>
      <c r="N18" s="139"/>
      <c r="O18" s="119"/>
      <c r="P18" s="110"/>
      <c r="Q18" s="110"/>
      <c r="R18" s="134"/>
      <c r="S18" s="134"/>
      <c r="T18" s="134"/>
      <c r="U18" s="134"/>
      <c r="V18" s="134"/>
      <c r="W18" s="134"/>
      <c r="X18" s="134"/>
      <c r="Y18" s="134"/>
      <c r="Z18" s="134"/>
      <c r="AA18" s="134"/>
      <c r="AB18" s="134"/>
      <c r="AC18" s="134"/>
      <c r="AD18" s="134"/>
      <c r="AE18" s="134"/>
      <c r="AF18" s="119"/>
      <c r="AG18" s="134"/>
      <c r="AH18" s="136"/>
      <c r="AI18" s="120"/>
      <c r="AJ18" s="121"/>
      <c r="AK18" s="100"/>
      <c r="AL18" s="134"/>
      <c r="AM18" s="110"/>
      <c r="AN18" s="110"/>
      <c r="AO18" s="110"/>
      <c r="AP18" s="110"/>
    </row>
    <row r="19" spans="1:42" ht="27.6" x14ac:dyDescent="0.3">
      <c r="A19" s="106"/>
      <c r="B19" s="102"/>
      <c r="C19" s="43" t="s">
        <v>52</v>
      </c>
      <c r="D19" s="102"/>
      <c r="E19" s="102"/>
      <c r="F19" s="63" t="s">
        <v>171</v>
      </c>
      <c r="G19" s="143"/>
      <c r="H19" s="146"/>
      <c r="I19" s="149"/>
      <c r="J19" s="137"/>
      <c r="K19" s="120"/>
      <c r="L19" s="121"/>
      <c r="M19" s="100"/>
      <c r="N19" s="140"/>
      <c r="O19" s="106"/>
      <c r="P19" s="102"/>
      <c r="Q19" s="102"/>
      <c r="R19" s="99"/>
      <c r="S19" s="99"/>
      <c r="T19" s="99"/>
      <c r="U19" s="99"/>
      <c r="V19" s="99"/>
      <c r="W19" s="99"/>
      <c r="X19" s="99"/>
      <c r="Y19" s="99"/>
      <c r="Z19" s="99"/>
      <c r="AA19" s="99"/>
      <c r="AB19" s="99"/>
      <c r="AC19" s="99"/>
      <c r="AD19" s="99"/>
      <c r="AE19" s="99"/>
      <c r="AF19" s="106"/>
      <c r="AG19" s="99"/>
      <c r="AH19" s="137"/>
      <c r="AI19" s="120"/>
      <c r="AJ19" s="121"/>
      <c r="AK19" s="100"/>
      <c r="AL19" s="99"/>
      <c r="AM19" s="102"/>
      <c r="AN19" s="102"/>
      <c r="AO19" s="102"/>
      <c r="AP19" s="102"/>
    </row>
    <row r="20" spans="1:42" ht="71.25" customHeight="1" x14ac:dyDescent="0.3">
      <c r="A20" s="120">
        <v>3</v>
      </c>
      <c r="B20" s="126" t="s">
        <v>122</v>
      </c>
      <c r="C20" s="126" t="s">
        <v>53</v>
      </c>
      <c r="D20" s="126" t="s">
        <v>89</v>
      </c>
      <c r="E20" s="126" t="s">
        <v>134</v>
      </c>
      <c r="F20" s="72" t="s">
        <v>172</v>
      </c>
      <c r="G20" s="184" t="s">
        <v>173</v>
      </c>
      <c r="H20" s="73" t="s">
        <v>174</v>
      </c>
      <c r="I20" s="126" t="s">
        <v>140</v>
      </c>
      <c r="J20" s="120">
        <v>1</v>
      </c>
      <c r="K20" s="120">
        <v>4</v>
      </c>
      <c r="L20" s="121">
        <f t="shared" ref="L20" si="8">J20*K20</f>
        <v>4</v>
      </c>
      <c r="M20" s="100" t="str">
        <f t="shared" ref="M20" si="9">IF(AND(J20=1,K20=1),"BAJO",IF(AND(J20=1,K20=2),"BAJO",IF(AND(J20=2,K20=1),"BAJO",IF(AND(J20=2,K20=2),"BAJO",IF(AND(J20=3,K20=1),"BAJO",IF(AND(J20=1,K20=3),"MODERADO",IF(AND(J20=2,K20=3),"MODERADO",IF(AND(J20=3,K20=2),"MODERADO",IF(AND(J20=4,K20=1),"MODERADO",IF(AND(J20=5,K20=1),"ALTO",IF(AND(J20=4,K20=2),"ALTO",IF(AND(J20=3,K20=3),"ALTO",IF(AND(J20=2,K20=4),"ALTO",IF(AND(J20=1,K20=4),"ALTO",IF(AND(J20=5,K20=2),"ALTO",IF(AND(J20=4,K20=3),"ALTO","EXTREMO"))))))))))))))))</f>
        <v>ALTO</v>
      </c>
      <c r="N20" s="186" t="s">
        <v>175</v>
      </c>
      <c r="O20" s="120" t="s">
        <v>0</v>
      </c>
      <c r="P20" s="126" t="s">
        <v>118</v>
      </c>
      <c r="Q20" s="126" t="s">
        <v>119</v>
      </c>
      <c r="R20" s="187" t="s">
        <v>112</v>
      </c>
      <c r="S20" s="187">
        <f>IF(R20="Asignado",[2]Listas!$C$30,[2]Listas!$C$31)</f>
        <v>15</v>
      </c>
      <c r="T20" s="187" t="s">
        <v>63</v>
      </c>
      <c r="U20" s="187">
        <f>IF(T20="Adecuado",[2]Listas!$C$32,[2]Listas!$C$33)</f>
        <v>15</v>
      </c>
      <c r="V20" s="187" t="s">
        <v>65</v>
      </c>
      <c r="W20" s="187">
        <f>IF(V20="Oportuna",[2]Listas!$C$34,[2]Listas!$C$35)</f>
        <v>15</v>
      </c>
      <c r="X20" s="187" t="s">
        <v>73</v>
      </c>
      <c r="Y20" s="187">
        <f>IF(X20="Prevenir",[2]Listas!$C$36,IF(X20="Detectar",[2]Listas!$C$37,[2]Listas!$C$38))</f>
        <v>15</v>
      </c>
      <c r="Z20" s="187" t="s">
        <v>68</v>
      </c>
      <c r="AA20" s="187">
        <f>IF(Z20="Confiable",[2]Listas!$C$39,[2]Listas!$C$40)</f>
        <v>15</v>
      </c>
      <c r="AB20" s="187" t="s">
        <v>70</v>
      </c>
      <c r="AC20" s="187">
        <f>IF(AB20="Se investigan y resuelven oportunamente",[2]Listas!$C$41,[2]Listas!$C$42)</f>
        <v>15</v>
      </c>
      <c r="AD20" s="187" t="s">
        <v>72</v>
      </c>
      <c r="AE20" s="187">
        <f>IF(AD20="Completa",[2]Listas!$C$43,IF(AD20="Incompleta",[2]Listas!$C$44,[2]Listas!$C$45))</f>
        <v>10</v>
      </c>
      <c r="AF20" s="120">
        <f t="shared" ref="AF20" si="10">S20+U20+W20+Y20+AA20+AC20+AE20</f>
        <v>100</v>
      </c>
      <c r="AG20" s="120">
        <f>AVERAGE(AF20:AF20)</f>
        <v>100</v>
      </c>
      <c r="AH20" s="120">
        <v>1</v>
      </c>
      <c r="AI20" s="120">
        <v>3</v>
      </c>
      <c r="AJ20" s="121">
        <f>+AH20*AI20</f>
        <v>3</v>
      </c>
      <c r="AK20" s="100" t="str">
        <f t="shared" ref="AK20" si="11">IF(AND(AH20=1,AI20=1),"BAJO",IF(AND(AH20=1,AI20=2),"BAJO",IF(AND(AH20=2,AI20=1),"BAJO",IF(AND(AH20=2,AI20=2),"BAJO",IF(AND(AH20=3,AI20=1),"BAJO",IF(AND(AH20=1,AI20=3),"MODERADO",IF(AND(AH20=2,AI20=3),"MODERADO",IF(AND(AH20=3,AI20=2),"MODERADO",IF(AND(AH20=4,AI20=1),"MODERADO",IF(AND(AH20=5,AI20=1),"ALTO",IF(AND(AH20=4,AI20=2),"ALTO",IF(AND(AH20=3,AI20=3),"ALTO",IF(AND(AH20=2,AI20=4),"ALTO",IF(AND(AH20=1,AI20=4),"ALTO",IF(AND(AH20=5,AI20=2),"ALTO",IF(AND(AH20=4,AI20=3),"ALTO","EXTREMO"))))))))))))))))</f>
        <v>MODERADO</v>
      </c>
      <c r="AL20" s="187" t="s">
        <v>95</v>
      </c>
      <c r="AM20" s="126" t="s">
        <v>176</v>
      </c>
      <c r="AN20" s="126" t="s">
        <v>177</v>
      </c>
      <c r="AO20" s="126" t="s">
        <v>178</v>
      </c>
      <c r="AP20" s="120" t="s">
        <v>34</v>
      </c>
    </row>
    <row r="21" spans="1:42" ht="69" x14ac:dyDescent="0.3">
      <c r="A21" s="120"/>
      <c r="B21" s="126"/>
      <c r="C21" s="126"/>
      <c r="D21" s="126"/>
      <c r="E21" s="126"/>
      <c r="F21" s="72" t="s">
        <v>179</v>
      </c>
      <c r="G21" s="185"/>
      <c r="H21" s="73" t="s">
        <v>180</v>
      </c>
      <c r="I21" s="126"/>
      <c r="J21" s="120"/>
      <c r="K21" s="120"/>
      <c r="L21" s="121"/>
      <c r="M21" s="100"/>
      <c r="N21" s="186"/>
      <c r="O21" s="120"/>
      <c r="P21" s="126"/>
      <c r="Q21" s="126"/>
      <c r="R21" s="187"/>
      <c r="S21" s="187"/>
      <c r="T21" s="187"/>
      <c r="U21" s="187"/>
      <c r="V21" s="187"/>
      <c r="W21" s="187"/>
      <c r="X21" s="187"/>
      <c r="Y21" s="187"/>
      <c r="Z21" s="187"/>
      <c r="AA21" s="187"/>
      <c r="AB21" s="187"/>
      <c r="AC21" s="187"/>
      <c r="AD21" s="187"/>
      <c r="AE21" s="187"/>
      <c r="AF21" s="120"/>
      <c r="AG21" s="120"/>
      <c r="AH21" s="120"/>
      <c r="AI21" s="120"/>
      <c r="AJ21" s="121"/>
      <c r="AK21" s="100"/>
      <c r="AL21" s="187"/>
      <c r="AM21" s="126"/>
      <c r="AN21" s="126"/>
      <c r="AO21" s="126"/>
      <c r="AP21" s="120"/>
    </row>
    <row r="22" spans="1:42" ht="42.75" customHeight="1" x14ac:dyDescent="0.3">
      <c r="A22" s="120">
        <v>4</v>
      </c>
      <c r="B22" s="126" t="s">
        <v>186</v>
      </c>
      <c r="C22" s="43" t="s">
        <v>52</v>
      </c>
      <c r="D22" s="101"/>
      <c r="E22" s="101" t="s">
        <v>134</v>
      </c>
      <c r="F22" s="44" t="s">
        <v>163</v>
      </c>
      <c r="G22" s="117" t="s">
        <v>181</v>
      </c>
      <c r="H22" s="128" t="s">
        <v>135</v>
      </c>
      <c r="I22" s="101" t="s">
        <v>140</v>
      </c>
      <c r="J22" s="105">
        <v>2</v>
      </c>
      <c r="K22" s="120">
        <v>5</v>
      </c>
      <c r="L22" s="121">
        <f t="shared" ref="L22" si="12">J22*K22</f>
        <v>10</v>
      </c>
      <c r="M22" s="100" t="str">
        <f t="shared" ref="M22" si="13">IF(AND(J22=1,K22=1),"BAJO",IF(AND(J22=1,K22=2),"BAJO",IF(AND(J22=2,K22=1),"BAJO",IF(AND(J22=2,K22=2),"BAJO",IF(AND(J22=3,K22=1),"BAJO",IF(AND(J22=1,K22=3),"MODERADO",IF(AND(J22=2,K22=3),"MODERADO",IF(AND(J22=3,K22=2),"MODERADO",IF(AND(J22=4,K22=1),"MODERADO",IF(AND(J22=5,K22=1),"ALTO",IF(AND(J22=4,K22=2),"ALTO",IF(AND(J22=3,K22=3),"ALTO",IF(AND(J22=2,K22=4),"ALTO",IF(AND(J22=1,K22=4),"ALTO",IF(AND(J22=5,K22=2),"ALTO",IF(AND(J22=4,K22=3),"ALTO","EXTREMO"))))))))))))))))</f>
        <v>EXTREMO</v>
      </c>
      <c r="N22" s="131" t="s">
        <v>182</v>
      </c>
      <c r="O22" s="105" t="s">
        <v>0</v>
      </c>
      <c r="P22" s="101" t="s">
        <v>118</v>
      </c>
      <c r="Q22" s="101" t="s">
        <v>120</v>
      </c>
      <c r="R22" s="101" t="s">
        <v>112</v>
      </c>
      <c r="S22" s="101">
        <f>IF(R22="Asignado",[3]Listas!$C$30,[3]Listas!$C$31)</f>
        <v>15</v>
      </c>
      <c r="T22" s="101" t="s">
        <v>63</v>
      </c>
      <c r="U22" s="101">
        <f>IF(T22="Adecuado",[3]Listas!$C$32,[3]Listas!$C$33)</f>
        <v>15</v>
      </c>
      <c r="V22" s="101" t="s">
        <v>65</v>
      </c>
      <c r="W22" s="101">
        <f>IF(V22="Oportuna",[3]Listas!$C$34,[3]Listas!$C$35)</f>
        <v>15</v>
      </c>
      <c r="X22" s="101" t="s">
        <v>73</v>
      </c>
      <c r="Y22" s="101">
        <f>IF(X22="Prevenir",[3]Listas!$C$36,IF(X22="Detectar",[3]Listas!$C$37,[3]Listas!$C$38))</f>
        <v>15</v>
      </c>
      <c r="Z22" s="101" t="s">
        <v>68</v>
      </c>
      <c r="AA22" s="101">
        <f>IF(Z22="Confiable",[3]Listas!$C$39,[3]Listas!$C$40)</f>
        <v>15</v>
      </c>
      <c r="AB22" s="101" t="s">
        <v>70</v>
      </c>
      <c r="AC22" s="101">
        <f>IF(AB22="Se investigan y resuelven oportunamente",[3]Listas!$C$41,[3]Listas!$C$42)</f>
        <v>15</v>
      </c>
      <c r="AD22" s="101" t="s">
        <v>72</v>
      </c>
      <c r="AE22" s="101">
        <f>IF(AD22="Completa",[3]Listas!$C$43,IF(AD22="Incompleta",[3]Listas!$C$44,[3]Listas!$C$45))</f>
        <v>10</v>
      </c>
      <c r="AF22" s="105">
        <f t="shared" ref="AF22" si="14">S22+U22+W22+Y22+AA22+AC22+AE22</f>
        <v>100</v>
      </c>
      <c r="AG22" s="105">
        <f>AVERAGE(AF22:AF22)</f>
        <v>100</v>
      </c>
      <c r="AH22" s="105">
        <v>1</v>
      </c>
      <c r="AI22" s="120">
        <v>4</v>
      </c>
      <c r="AJ22" s="121">
        <f t="shared" ref="AJ22" si="15">AH22*AI22</f>
        <v>4</v>
      </c>
      <c r="AK22" s="100" t="str">
        <f t="shared" ref="AK22" si="16">IF(AND(AH22=1,AI22=1),"BAJO",IF(AND(AH22=1,AI22=2),"BAJO",IF(AND(AH22=2,AI22=1),"BAJO",IF(AND(AH22=2,AI22=2),"BAJO",IF(AND(AH22=3,AI22=1),"BAJO",IF(AND(AH22=1,AI22=3),"MODERADO",IF(AND(AH22=2,AI22=3),"MODERADO",IF(AND(AH22=3,AI22=2),"MODERADO",IF(AND(AH22=4,AI22=1),"MODERADO",IF(AND(AH22=5,AI22=1),"ALTO",IF(AND(AH22=4,AI22=2),"ALTO",IF(AND(AH22=3,AI22=3),"ALTO",IF(AND(AH22=2,AI22=4),"ALTO",IF(AND(AH22=1,AI22=4),"ALTO",IF(AND(AH22=5,AI22=2),"ALTO",IF(AND(AH22=4,AI22=3),"ALTO","EXTREMO"))))))))))))))))</f>
        <v>ALTO</v>
      </c>
      <c r="AL22" s="101" t="s">
        <v>95</v>
      </c>
      <c r="AM22" s="124" t="s">
        <v>183</v>
      </c>
      <c r="AN22" s="101" t="s">
        <v>184</v>
      </c>
      <c r="AO22" s="101" t="s">
        <v>185</v>
      </c>
      <c r="AP22" s="101" t="s">
        <v>168</v>
      </c>
    </row>
    <row r="23" spans="1:42" ht="27.6" x14ac:dyDescent="0.3">
      <c r="A23" s="120"/>
      <c r="B23" s="126"/>
      <c r="C23" s="43" t="s">
        <v>52</v>
      </c>
      <c r="D23" s="110"/>
      <c r="E23" s="110"/>
      <c r="F23" s="44" t="s">
        <v>169</v>
      </c>
      <c r="G23" s="127"/>
      <c r="H23" s="129"/>
      <c r="I23" s="110"/>
      <c r="J23" s="119"/>
      <c r="K23" s="120"/>
      <c r="L23" s="121"/>
      <c r="M23" s="100"/>
      <c r="N23" s="132"/>
      <c r="O23" s="119"/>
      <c r="P23" s="110"/>
      <c r="Q23" s="110"/>
      <c r="R23" s="110"/>
      <c r="S23" s="110"/>
      <c r="T23" s="110"/>
      <c r="U23" s="110"/>
      <c r="V23" s="110"/>
      <c r="W23" s="110"/>
      <c r="X23" s="110"/>
      <c r="Y23" s="110"/>
      <c r="Z23" s="110"/>
      <c r="AA23" s="110"/>
      <c r="AB23" s="110"/>
      <c r="AC23" s="110"/>
      <c r="AD23" s="110"/>
      <c r="AE23" s="110"/>
      <c r="AF23" s="119"/>
      <c r="AG23" s="119"/>
      <c r="AH23" s="119"/>
      <c r="AI23" s="120"/>
      <c r="AJ23" s="121"/>
      <c r="AK23" s="100"/>
      <c r="AL23" s="110"/>
      <c r="AM23" s="188"/>
      <c r="AN23" s="110"/>
      <c r="AO23" s="110"/>
      <c r="AP23" s="110"/>
    </row>
    <row r="24" spans="1:42" ht="85.5" customHeight="1" x14ac:dyDescent="0.3">
      <c r="A24" s="120"/>
      <c r="B24" s="126"/>
      <c r="C24" s="43" t="s">
        <v>52</v>
      </c>
      <c r="D24" s="110"/>
      <c r="E24" s="110"/>
      <c r="F24" s="44" t="s">
        <v>170</v>
      </c>
      <c r="G24" s="127"/>
      <c r="H24" s="129"/>
      <c r="I24" s="110"/>
      <c r="J24" s="119"/>
      <c r="K24" s="120"/>
      <c r="L24" s="121"/>
      <c r="M24" s="100"/>
      <c r="N24" s="132"/>
      <c r="O24" s="119"/>
      <c r="P24" s="110"/>
      <c r="Q24" s="110"/>
      <c r="R24" s="110"/>
      <c r="S24" s="110"/>
      <c r="T24" s="110"/>
      <c r="U24" s="110"/>
      <c r="V24" s="110"/>
      <c r="W24" s="110"/>
      <c r="X24" s="110"/>
      <c r="Y24" s="110"/>
      <c r="Z24" s="110"/>
      <c r="AA24" s="110"/>
      <c r="AB24" s="110"/>
      <c r="AC24" s="110"/>
      <c r="AD24" s="110"/>
      <c r="AE24" s="110"/>
      <c r="AF24" s="119"/>
      <c r="AG24" s="119"/>
      <c r="AH24" s="119"/>
      <c r="AI24" s="120"/>
      <c r="AJ24" s="121"/>
      <c r="AK24" s="100"/>
      <c r="AL24" s="110"/>
      <c r="AM24" s="188"/>
      <c r="AN24" s="110"/>
      <c r="AO24" s="110"/>
      <c r="AP24" s="110"/>
    </row>
    <row r="25" spans="1:42" ht="27.6" x14ac:dyDescent="0.3">
      <c r="A25" s="120"/>
      <c r="B25" s="126"/>
      <c r="C25" s="43" t="s">
        <v>52</v>
      </c>
      <c r="D25" s="102"/>
      <c r="E25" s="102"/>
      <c r="F25" s="44" t="s">
        <v>171</v>
      </c>
      <c r="G25" s="118"/>
      <c r="H25" s="130"/>
      <c r="I25" s="102"/>
      <c r="J25" s="106"/>
      <c r="K25" s="120"/>
      <c r="L25" s="121"/>
      <c r="M25" s="100"/>
      <c r="N25" s="133"/>
      <c r="O25" s="106"/>
      <c r="P25" s="102"/>
      <c r="Q25" s="102"/>
      <c r="R25" s="102"/>
      <c r="S25" s="102"/>
      <c r="T25" s="102"/>
      <c r="U25" s="102"/>
      <c r="V25" s="102"/>
      <c r="W25" s="102"/>
      <c r="X25" s="102"/>
      <c r="Y25" s="102"/>
      <c r="Z25" s="102"/>
      <c r="AA25" s="102"/>
      <c r="AB25" s="102"/>
      <c r="AC25" s="102"/>
      <c r="AD25" s="102"/>
      <c r="AE25" s="102"/>
      <c r="AF25" s="106"/>
      <c r="AG25" s="106"/>
      <c r="AH25" s="106"/>
      <c r="AI25" s="120"/>
      <c r="AJ25" s="121"/>
      <c r="AK25" s="100"/>
      <c r="AL25" s="102"/>
      <c r="AM25" s="125"/>
      <c r="AN25" s="102"/>
      <c r="AO25" s="102"/>
      <c r="AP25" s="102"/>
    </row>
    <row r="26" spans="1:42" ht="185.25" customHeight="1" x14ac:dyDescent="0.25">
      <c r="A26" s="120">
        <v>5</v>
      </c>
      <c r="B26" s="126" t="s">
        <v>106</v>
      </c>
      <c r="C26" s="82" t="s">
        <v>52</v>
      </c>
      <c r="D26" s="82" t="s">
        <v>89</v>
      </c>
      <c r="E26" s="82" t="s">
        <v>136</v>
      </c>
      <c r="F26" s="84" t="s">
        <v>187</v>
      </c>
      <c r="G26" s="83" t="s">
        <v>188</v>
      </c>
      <c r="H26" s="83" t="s">
        <v>189</v>
      </c>
      <c r="I26" s="84" t="s">
        <v>140</v>
      </c>
      <c r="J26" s="81">
        <v>2</v>
      </c>
      <c r="K26" s="81">
        <v>3</v>
      </c>
      <c r="L26" s="62">
        <f>J26*K26</f>
        <v>6</v>
      </c>
      <c r="M26" s="85" t="str">
        <f>IF(AND(J26=1,K26=1),"BAJO",IF(AND(J26=1,K26=2),"BAJO",IF(AND(J26=2,K26=1),"BAJO",IF(AND(J26=2,K26=2),"BAJO",IF(AND(J26=3,K26=1),"BAJO",IF(AND(J26=1,K26=3),"MODERADO",IF(AND(J26=2,K26=3),"MODERADO",IF(AND(J26=3,K26=2),"MODERADO",IF(AND(J26=4,K26=1),"MODERADO",IF(AND(J26=5,K26=1),"ALTO",IF(AND(J26=4,K26=2),"ALTO",IF(AND(J26=3,K26=3),"ALTO",IF(AND(J26=2,K26=4),"ALTO",IF(AND(J26=1,K26=4),"ALTO",IF(AND(J26=5,K26=2),"ALTO",IF(AND(J26=4,K26=3),"ALTO","EXTREMO"))))))))))))))))</f>
        <v>MODERADO</v>
      </c>
      <c r="N26" s="61" t="s">
        <v>190</v>
      </c>
      <c r="O26" s="81" t="s">
        <v>0</v>
      </c>
      <c r="P26" s="82" t="s">
        <v>118</v>
      </c>
      <c r="Q26" s="82" t="s">
        <v>120</v>
      </c>
      <c r="R26" s="79" t="s">
        <v>112</v>
      </c>
      <c r="S26" s="79">
        <f>IF(R26="Asignado",[4]Listas!$C$30,[4]Listas!$C$31)</f>
        <v>15</v>
      </c>
      <c r="T26" s="79" t="s">
        <v>63</v>
      </c>
      <c r="U26" s="79">
        <f>IF(T26="Adecuado",[4]Listas!$C$32,[4]Listas!$C$33)</f>
        <v>15</v>
      </c>
      <c r="V26" s="79" t="s">
        <v>65</v>
      </c>
      <c r="W26" s="79">
        <f>IF(V26="Oportuna",[4]Listas!$C$34,[4]Listas!$C$35)</f>
        <v>15</v>
      </c>
      <c r="X26" s="79" t="s">
        <v>73</v>
      </c>
      <c r="Y26" s="79">
        <f>IF(X26="Prevenir",[4]Listas!$C$36,IF(X26="Detectar",[4]Listas!$C$37,[4]Listas!$C$38))</f>
        <v>15</v>
      </c>
      <c r="Z26" s="79" t="s">
        <v>68</v>
      </c>
      <c r="AA26" s="79">
        <f>IF(Z26="Confiable",[4]Listas!$C$39,[4]Listas!$C$40)</f>
        <v>15</v>
      </c>
      <c r="AB26" s="79" t="s">
        <v>70</v>
      </c>
      <c r="AC26" s="79">
        <f>IF(AB26="Se investigan y resuelven oportunamente",[4]Listas!$C$41,[4]Listas!$C$42)</f>
        <v>15</v>
      </c>
      <c r="AD26" s="59" t="s">
        <v>72</v>
      </c>
      <c r="AE26" s="79">
        <f>IF(AD26="Completa",[4]Listas!$C$43,IF(AD26="Incompleta",[4]Listas!$C$44,[4]Listas!$C$45))</f>
        <v>10</v>
      </c>
      <c r="AF26" s="81">
        <f>S26+U26+W26+Y26+AA26+AC26+AE26</f>
        <v>100</v>
      </c>
      <c r="AG26" s="81">
        <f>AVERAGE(AF26:AF26)</f>
        <v>100</v>
      </c>
      <c r="AH26" s="81">
        <v>1</v>
      </c>
      <c r="AI26" s="81">
        <v>3</v>
      </c>
      <c r="AJ26" s="62">
        <f>AH26*AI26</f>
        <v>3</v>
      </c>
      <c r="AK26" s="85" t="str">
        <f>IF(AND(AH26=1,AI26=1),"BAJO",IF(AND(AH26=1,AI26=2),"BAJO",IF(AND(AH26=2,AI26=1),"BAJO",IF(AND(AH26=2,AI26=2),"BAJO",IF(AND(AH26=3,AI26=1),"BAJO",IF(AND(AH26=1,AI26=3),"MODERADO",IF(AND(AH26=2,AI26=3),"MODERADO",IF(AND(AH26=3,AI26=2),"MODERADO",IF(AND(AH26=4,AI26=1),"MODERADO",IF(AND(AH26=5,AI26=1),"ALTO",IF(AND(AH26=4,AI26=2),"ALTO",IF(AND(AH26=3,AI26=3),"ALTO",IF(AND(AH26=2,AI26=4),"ALTO",IF(AND(AH26=1,AI26=4),"ALTO",IF(AND(AH26=5,AI26=2),"ALTO",IF(AND(AH26=4,AI26=3),"ALTO","EXTREMO"))))))))))))))))</f>
        <v>MODERADO</v>
      </c>
      <c r="AL26" s="79" t="s">
        <v>95</v>
      </c>
      <c r="AM26" s="86" t="s">
        <v>191</v>
      </c>
      <c r="AN26" s="86" t="s">
        <v>192</v>
      </c>
      <c r="AO26" s="86" t="s">
        <v>193</v>
      </c>
      <c r="AP26" s="87" t="s">
        <v>194</v>
      </c>
    </row>
    <row r="27" spans="1:42" ht="156.75" customHeight="1" x14ac:dyDescent="0.25">
      <c r="A27" s="120"/>
      <c r="B27" s="126"/>
      <c r="C27" s="82" t="s">
        <v>50</v>
      </c>
      <c r="D27" s="82" t="s">
        <v>89</v>
      </c>
      <c r="E27" s="82" t="s">
        <v>136</v>
      </c>
      <c r="F27" s="84" t="s">
        <v>187</v>
      </c>
      <c r="G27" s="83" t="s">
        <v>195</v>
      </c>
      <c r="H27" s="83" t="s">
        <v>196</v>
      </c>
      <c r="I27" s="84" t="s">
        <v>140</v>
      </c>
      <c r="J27" s="81">
        <v>1</v>
      </c>
      <c r="K27" s="81">
        <v>3</v>
      </c>
      <c r="L27" s="62">
        <f t="shared" ref="L27:L28" si="17">J27*K27</f>
        <v>3</v>
      </c>
      <c r="M27" s="85" t="str">
        <f t="shared" ref="M27:M28" si="18">IF(AND(J27=1,K27=1),"BAJO",IF(AND(J27=1,K27=2),"BAJO",IF(AND(J27=2,K27=1),"BAJO",IF(AND(J27=2,K27=2),"BAJO",IF(AND(J27=3,K27=1),"BAJO",IF(AND(J27=1,K27=3),"MODERADO",IF(AND(J27=2,K27=3),"MODERADO",IF(AND(J27=3,K27=2),"MODERADO",IF(AND(J27=4,K27=1),"MODERADO",IF(AND(J27=5,K27=1),"ALTO",IF(AND(J27=4,K27=2),"ALTO",IF(AND(J27=3,K27=3),"ALTO",IF(AND(J27=2,K27=4),"ALTO",IF(AND(J27=1,K27=4),"ALTO",IF(AND(J27=5,K27=2),"ALTO",IF(AND(J27=4,K27=3),"ALTO","EXTREMO"))))))))))))))))</f>
        <v>MODERADO</v>
      </c>
      <c r="N27" s="38" t="s">
        <v>197</v>
      </c>
      <c r="O27" s="81" t="s">
        <v>0</v>
      </c>
      <c r="P27" s="82" t="s">
        <v>118</v>
      </c>
      <c r="Q27" s="82" t="s">
        <v>120</v>
      </c>
      <c r="R27" s="79" t="s">
        <v>112</v>
      </c>
      <c r="S27" s="79">
        <f>IF(R27="Asignado",[4]Listas!$C$30,[4]Listas!$C$31)</f>
        <v>15</v>
      </c>
      <c r="T27" s="79" t="s">
        <v>63</v>
      </c>
      <c r="U27" s="79">
        <f>IF(T27="Adecuado",[4]Listas!$C$32,[4]Listas!$C$33)</f>
        <v>15</v>
      </c>
      <c r="V27" s="79" t="s">
        <v>65</v>
      </c>
      <c r="W27" s="79">
        <f>IF(V27="Oportuna",[4]Listas!$C$34,[4]Listas!$C$35)</f>
        <v>15</v>
      </c>
      <c r="X27" s="79" t="s">
        <v>73</v>
      </c>
      <c r="Y27" s="79">
        <f>IF(X27="Prevenir",[4]Listas!$C$36,IF(X27="Detectar",[4]Listas!$C$37,[4]Listas!$C$38))</f>
        <v>15</v>
      </c>
      <c r="Z27" s="79" t="s">
        <v>68</v>
      </c>
      <c r="AA27" s="79">
        <f>IF(Z27="Confiable",[4]Listas!$C$39,[4]Listas!$C$40)</f>
        <v>15</v>
      </c>
      <c r="AB27" s="79" t="s">
        <v>70</v>
      </c>
      <c r="AC27" s="79">
        <f>IF(AB27="Se investigan y resuelven oportunamente",[4]Listas!$C$41,[4]Listas!$C$42)</f>
        <v>15</v>
      </c>
      <c r="AD27" s="79" t="s">
        <v>72</v>
      </c>
      <c r="AE27" s="79">
        <f>IF(AD27="Completa",[4]Listas!$C$43,IF(AD27="Incompleta",[4]Listas!$C$44,[4]Listas!$C$45))</f>
        <v>10</v>
      </c>
      <c r="AF27" s="81">
        <f t="shared" ref="AF27:AF28" si="19">S27+U27+W27+Y27+AA27+AC27+AE27</f>
        <v>100</v>
      </c>
      <c r="AG27" s="81">
        <f>AVERAGE(AF27:AF27)</f>
        <v>100</v>
      </c>
      <c r="AH27" s="81">
        <v>1</v>
      </c>
      <c r="AI27" s="81">
        <v>3</v>
      </c>
      <c r="AJ27" s="62">
        <f>+AH27*AI27</f>
        <v>3</v>
      </c>
      <c r="AK27" s="85" t="str">
        <f t="shared" ref="AK27:AK28" si="20">IF(AND(AH27=1,AI27=1),"BAJO",IF(AND(AH27=1,AI27=2),"BAJO",IF(AND(AH27=2,AI27=1),"BAJO",IF(AND(AH27=2,AI27=2),"BAJO",IF(AND(AH27=3,AI27=1),"BAJO",IF(AND(AH27=1,AI27=3),"MODERADO",IF(AND(AH27=2,AI27=3),"MODERADO",IF(AND(AH27=3,AI27=2),"MODERADO",IF(AND(AH27=4,AI27=1),"MODERADO",IF(AND(AH27=5,AI27=1),"ALTO",IF(AND(AH27=4,AI27=2),"ALTO",IF(AND(AH27=3,AI27=3),"ALTO",IF(AND(AH27=2,AI27=4),"ALTO",IF(AND(AH27=1,AI27=4),"ALTO",IF(AND(AH27=5,AI27=2),"ALTO",IF(AND(AH27=4,AI27=3),"ALTO","EXTREMO"))))))))))))))))</f>
        <v>MODERADO</v>
      </c>
      <c r="AL27" s="79" t="s">
        <v>95</v>
      </c>
      <c r="AM27" s="86" t="s">
        <v>198</v>
      </c>
      <c r="AN27" s="86" t="s">
        <v>199</v>
      </c>
      <c r="AO27" s="86" t="s">
        <v>200</v>
      </c>
      <c r="AP27" s="86" t="s">
        <v>201</v>
      </c>
    </row>
    <row r="28" spans="1:42" ht="193.2" x14ac:dyDescent="0.3">
      <c r="A28" s="36">
        <v>6</v>
      </c>
      <c r="B28" s="37" t="s">
        <v>107</v>
      </c>
      <c r="C28" s="74"/>
      <c r="D28" s="74" t="s">
        <v>89</v>
      </c>
      <c r="E28" s="74" t="s">
        <v>134</v>
      </c>
      <c r="F28" s="90" t="s">
        <v>202</v>
      </c>
      <c r="G28" s="88" t="s">
        <v>203</v>
      </c>
      <c r="H28" s="89" t="s">
        <v>204</v>
      </c>
      <c r="I28" s="74" t="s">
        <v>140</v>
      </c>
      <c r="J28" s="75">
        <v>1</v>
      </c>
      <c r="K28" s="75">
        <v>4</v>
      </c>
      <c r="L28" s="76">
        <f t="shared" si="17"/>
        <v>4</v>
      </c>
      <c r="M28" s="77" t="str">
        <f t="shared" si="18"/>
        <v>ALTO</v>
      </c>
      <c r="N28" s="88" t="s">
        <v>205</v>
      </c>
      <c r="O28" s="75" t="s">
        <v>0</v>
      </c>
      <c r="P28" s="74" t="s">
        <v>118</v>
      </c>
      <c r="Q28" s="74" t="s">
        <v>120</v>
      </c>
      <c r="R28" s="80" t="s">
        <v>112</v>
      </c>
      <c r="S28" s="80">
        <f>IF(R28="Asignado",[5]Listas!$C$30,[5]Listas!$C$31)</f>
        <v>15</v>
      </c>
      <c r="T28" s="80" t="s">
        <v>63</v>
      </c>
      <c r="U28" s="80">
        <f>IF(T28="Adecuado",[5]Listas!$C$32,[5]Listas!$C$33)</f>
        <v>15</v>
      </c>
      <c r="V28" s="80" t="s">
        <v>65</v>
      </c>
      <c r="W28" s="80">
        <f>IF(V28="Oportuna",[5]Listas!$C$34,[5]Listas!$C$35)</f>
        <v>15</v>
      </c>
      <c r="X28" s="80" t="s">
        <v>73</v>
      </c>
      <c r="Y28" s="80">
        <f>IF(X28="Prevenir",[5]Listas!$C$36,IF(X28="Detectar",[5]Listas!$C$37,[5]Listas!$C$38))</f>
        <v>15</v>
      </c>
      <c r="Z28" s="80" t="s">
        <v>68</v>
      </c>
      <c r="AA28" s="80">
        <f>IF(Z28="Confiable",[5]Listas!$C$39,[5]Listas!$C$40)</f>
        <v>15</v>
      </c>
      <c r="AB28" s="80" t="s">
        <v>70</v>
      </c>
      <c r="AC28" s="80">
        <f>IF(AB28="Se investigan y resuelven oportunamente",[5]Listas!$C$41,[5]Listas!$C$42)</f>
        <v>15</v>
      </c>
      <c r="AD28" s="80" t="s">
        <v>72</v>
      </c>
      <c r="AE28" s="80">
        <f>IF(AD28="Completa",[5]Listas!$C$43,IF(AD28="Incompleta",[5]Listas!$C$44,[5]Listas!$C$45))</f>
        <v>10</v>
      </c>
      <c r="AF28" s="75">
        <f t="shared" si="19"/>
        <v>100</v>
      </c>
      <c r="AG28" s="75">
        <f>AVERAGE(AF28:AF28)</f>
        <v>100</v>
      </c>
      <c r="AH28" s="75">
        <v>1</v>
      </c>
      <c r="AI28" s="75">
        <v>4</v>
      </c>
      <c r="AJ28" s="76">
        <f>+AH28*AI28</f>
        <v>4</v>
      </c>
      <c r="AK28" s="77" t="str">
        <f t="shared" si="20"/>
        <v>ALTO</v>
      </c>
      <c r="AL28" s="74" t="s">
        <v>95</v>
      </c>
      <c r="AM28" s="38" t="s">
        <v>206</v>
      </c>
      <c r="AN28" s="38" t="s">
        <v>207</v>
      </c>
      <c r="AO28" s="78" t="s">
        <v>208</v>
      </c>
      <c r="AP28" s="91" t="s">
        <v>209</v>
      </c>
    </row>
    <row r="29" spans="1:42" ht="124.2" x14ac:dyDescent="0.3">
      <c r="A29" s="120">
        <v>7</v>
      </c>
      <c r="B29" s="126" t="s">
        <v>109</v>
      </c>
      <c r="C29" s="74" t="s">
        <v>50</v>
      </c>
      <c r="D29" s="74"/>
      <c r="E29" s="74" t="s">
        <v>134</v>
      </c>
      <c r="F29" s="68" t="s">
        <v>210</v>
      </c>
      <c r="G29" s="66" t="s">
        <v>211</v>
      </c>
      <c r="H29" s="67" t="s">
        <v>212</v>
      </c>
      <c r="I29" s="74" t="s">
        <v>140</v>
      </c>
      <c r="J29" s="75">
        <v>2</v>
      </c>
      <c r="K29" s="75">
        <v>4</v>
      </c>
      <c r="L29" s="76">
        <f>J29*K29</f>
        <v>8</v>
      </c>
      <c r="M29" s="77" t="str">
        <f>IF(AND(J29=1,K29=1),"BAJO",IF(AND(J29=1,K29=2),"BAJO",IF(AND(J29=2,K29=1),"BAJO",IF(AND(J29=2,K29=2),"BAJO",IF(AND(J29=3,K29=1),"BAJO",IF(AND(J29=1,K29=3),"MODERADO",IF(AND(J29=2,K29=3),"MODERADO",IF(AND(J29=3,K29=2),"MODERADO",IF(AND(J29=4,K29=1),"MODERADO",IF(AND(J29=5,K29=1),"ALTO",IF(AND(J29=4,K29=2),"ALTO",IF(AND(J29=3,K29=3),"ALTO",IF(AND(J29=2,K29=4),"ALTO",IF(AND(J29=1,K29=4),"ALTO",IF(AND(J29=5,K29=2),"ALTO",IF(AND(J29=4,K29=3),"ALTO","EXTREMO"))))))))))))))))</f>
        <v>ALTO</v>
      </c>
      <c r="N29" s="92" t="s">
        <v>213</v>
      </c>
      <c r="O29" s="75" t="s">
        <v>0</v>
      </c>
      <c r="P29" s="74" t="s">
        <v>118</v>
      </c>
      <c r="Q29" s="74" t="s">
        <v>120</v>
      </c>
      <c r="R29" s="52" t="s">
        <v>112</v>
      </c>
      <c r="S29" s="80">
        <f>IF(R29="Asignado",[6]Listas!$C$30,[6]Listas!$C$31)</f>
        <v>15</v>
      </c>
      <c r="T29" s="80" t="s">
        <v>63</v>
      </c>
      <c r="U29" s="80">
        <f>IF(T29="Adecuado",[6]Listas!$C$32,[6]Listas!$C$33)</f>
        <v>15</v>
      </c>
      <c r="V29" s="80" t="s">
        <v>65</v>
      </c>
      <c r="W29" s="80">
        <f>IF(V29="Oportuna",[6]Listas!$C$34,[6]Listas!$C$35)</f>
        <v>15</v>
      </c>
      <c r="X29" s="80" t="s">
        <v>73</v>
      </c>
      <c r="Y29" s="80">
        <f>IF(X29="Prevenir",[6]Listas!$C$36,IF(X29="Detectar",[6]Listas!$C$37,[6]Listas!$C$38))</f>
        <v>15</v>
      </c>
      <c r="Z29" s="80" t="s">
        <v>68</v>
      </c>
      <c r="AA29" s="80">
        <f>IF(Z29="Confiable",[6]Listas!$C$39,[6]Listas!$C$40)</f>
        <v>15</v>
      </c>
      <c r="AB29" s="80" t="s">
        <v>70</v>
      </c>
      <c r="AC29" s="80">
        <f>IF(AB29="Se investigan y resuelven oportunamente",[6]Listas!$C$41,[6]Listas!$C$42)</f>
        <v>15</v>
      </c>
      <c r="AD29" s="80" t="s">
        <v>72</v>
      </c>
      <c r="AE29" s="80">
        <f>IF(AD29="Completa",[6]Listas!$C$43,IF(AD29="Incompleta",[6]Listas!$C$44,[6]Listas!$C$45))</f>
        <v>10</v>
      </c>
      <c r="AF29" s="75">
        <f>S29+U29+W29+Y29+AA29+AC29+AE29</f>
        <v>100</v>
      </c>
      <c r="AG29" s="75">
        <f>AVERAGE(AF29:AF29)</f>
        <v>100</v>
      </c>
      <c r="AH29" s="75">
        <v>1</v>
      </c>
      <c r="AI29" s="75">
        <v>4</v>
      </c>
      <c r="AJ29" s="76">
        <f>AH29*AI29</f>
        <v>4</v>
      </c>
      <c r="AK29" s="77" t="str">
        <f>IF(AND(AH29=1,AI29=1),"BAJO",IF(AND(AH29=1,AI29=2),"BAJO",IF(AND(AH29=2,AI29=1),"BAJO",IF(AND(AH29=2,AI29=2),"BAJO",IF(AND(AH29=3,AI29=1),"BAJO",IF(AND(AH29=1,AI29=3),"MODERADO",IF(AND(AH29=2,AI29=3),"MODERADO",IF(AND(AH29=3,AI29=2),"MODERADO",IF(AND(AH29=4,AI29=1),"MODERADO",IF(AND(AH29=5,AI29=1),"ALTO",IF(AND(AH29=4,AI29=2),"ALTO",IF(AND(AH29=3,AI29=3),"ALTO",IF(AND(AH29=2,AI29=4),"ALTO",IF(AND(AH29=1,AI29=4),"ALTO",IF(AND(AH29=5,AI29=2),"ALTO",IF(AND(AH29=4,AI29=3),"ALTO","EXTREMO"))))))))))))))))</f>
        <v>ALTO</v>
      </c>
      <c r="AL29" s="80" t="s">
        <v>95</v>
      </c>
      <c r="AM29" s="74" t="s">
        <v>214</v>
      </c>
      <c r="AN29" s="74" t="s">
        <v>215</v>
      </c>
      <c r="AO29" s="74" t="s">
        <v>216</v>
      </c>
      <c r="AP29" s="74" t="s">
        <v>217</v>
      </c>
    </row>
    <row r="30" spans="1:42" ht="151.80000000000001" x14ac:dyDescent="0.3">
      <c r="A30" s="120"/>
      <c r="B30" s="126"/>
      <c r="C30" s="74" t="s">
        <v>50</v>
      </c>
      <c r="D30" s="51"/>
      <c r="E30" s="74" t="s">
        <v>134</v>
      </c>
      <c r="F30" s="65" t="s">
        <v>218</v>
      </c>
      <c r="G30" s="93" t="s">
        <v>219</v>
      </c>
      <c r="H30" s="65" t="s">
        <v>220</v>
      </c>
      <c r="I30" s="74" t="s">
        <v>140</v>
      </c>
      <c r="J30" s="75">
        <v>2</v>
      </c>
      <c r="K30" s="75">
        <v>5</v>
      </c>
      <c r="L30" s="76">
        <f t="shared" ref="L30" si="21">J30*K30</f>
        <v>10</v>
      </c>
      <c r="M30" s="77" t="str">
        <f t="shared" ref="M30" si="22">IF(AND(J30=1,K30=1),"BAJO",IF(AND(J30=1,K30=2),"BAJO",IF(AND(J30=2,K30=1),"BAJO",IF(AND(J30=2,K30=2),"BAJO",IF(AND(J30=3,K30=1),"BAJO",IF(AND(J30=1,K30=3),"MODERADO",IF(AND(J30=2,K30=3),"MODERADO",IF(AND(J30=3,K30=2),"MODERADO",IF(AND(J30=4,K30=1),"MODERADO",IF(AND(J30=5,K30=1),"ALTO",IF(AND(J30=4,K30=2),"ALTO",IF(AND(J30=3,K30=3),"ALTO",IF(AND(J30=2,K30=4),"ALTO",IF(AND(J30=1,K30=4),"ALTO",IF(AND(J30=5,K30=2),"ALTO",IF(AND(J30=4,K30=3),"ALTO","EXTREMO"))))))))))))))))</f>
        <v>EXTREMO</v>
      </c>
      <c r="N30" s="60" t="s">
        <v>221</v>
      </c>
      <c r="O30" s="75" t="s">
        <v>0</v>
      </c>
      <c r="P30" s="74" t="s">
        <v>118</v>
      </c>
      <c r="Q30" s="74" t="s">
        <v>118</v>
      </c>
      <c r="R30" s="51" t="s">
        <v>112</v>
      </c>
      <c r="S30" s="74">
        <f>IF(R30="Asignado",[6]Listas!$C$30,[6]Listas!$C$31)</f>
        <v>15</v>
      </c>
      <c r="T30" s="74" t="s">
        <v>63</v>
      </c>
      <c r="U30" s="74">
        <f>IF(T30="Adecuado",[6]Listas!$C$32,[6]Listas!$C$33)</f>
        <v>15</v>
      </c>
      <c r="V30" s="74" t="s">
        <v>65</v>
      </c>
      <c r="W30" s="74">
        <f>IF(V30="Oportuna",[6]Listas!$C$34,[6]Listas!$C$35)</f>
        <v>15</v>
      </c>
      <c r="X30" s="74" t="s">
        <v>73</v>
      </c>
      <c r="Y30" s="74">
        <f>IF(X30="Prevenir",[6]Listas!$C$36,IF(X30="Detectar",[6]Listas!$C$37,[6]Listas!$C$38))</f>
        <v>15</v>
      </c>
      <c r="Z30" s="74" t="s">
        <v>68</v>
      </c>
      <c r="AA30" s="74">
        <f>IF(Z30="Confiable",[6]Listas!$C$39,[6]Listas!$C$40)</f>
        <v>15</v>
      </c>
      <c r="AB30" s="74" t="s">
        <v>70</v>
      </c>
      <c r="AC30" s="74">
        <f>IF(AB30="Se investigan y resuelven oportunamente",[6]Listas!$C$41,[6]Listas!$C$42)</f>
        <v>15</v>
      </c>
      <c r="AD30" s="74" t="s">
        <v>72</v>
      </c>
      <c r="AE30" s="74">
        <f>IF(AD30="Completa",[6]Listas!$C$43,IF(AD30="Incompleta",[6]Listas!$C$44,[6]Listas!$C$45))</f>
        <v>10</v>
      </c>
      <c r="AF30" s="75">
        <f t="shared" ref="AF30" si="23">S30+U30+W30+Y30+AA30+AC30+AE30</f>
        <v>100</v>
      </c>
      <c r="AG30" s="75">
        <f>AVERAGE(AF30:AF30)</f>
        <v>100</v>
      </c>
      <c r="AH30" s="75">
        <v>1</v>
      </c>
      <c r="AI30" s="75">
        <v>3</v>
      </c>
      <c r="AJ30" s="76">
        <f>+AH30*AI30</f>
        <v>3</v>
      </c>
      <c r="AK30" s="77" t="str">
        <f t="shared" ref="AK30" si="24">IF(AND(AH30=1,AI30=1),"BAJO",IF(AND(AH30=1,AI30=2),"BAJO",IF(AND(AH30=2,AI30=1),"BAJO",IF(AND(AH30=2,AI30=2),"BAJO",IF(AND(AH30=3,AI30=1),"BAJO",IF(AND(AH30=1,AI30=3),"MODERADO",IF(AND(AH30=2,AI30=3),"MODERADO",IF(AND(AH30=3,AI30=2),"MODERADO",IF(AND(AH30=4,AI30=1),"MODERADO",IF(AND(AH30=5,AI30=1),"ALTO",IF(AND(AH30=4,AI30=2),"ALTO",IF(AND(AH30=3,AI30=3),"ALTO",IF(AND(AH30=2,AI30=4),"ALTO",IF(AND(AH30=1,AI30=4),"ALTO",IF(AND(AH30=5,AI30=2),"ALTO",IF(AND(AH30=4,AI30=3),"ALTO","EXTREMO"))))))))))))))))</f>
        <v>MODERADO</v>
      </c>
      <c r="AL30" s="74" t="s">
        <v>95</v>
      </c>
      <c r="AM30" s="74" t="s">
        <v>222</v>
      </c>
      <c r="AN30" s="74" t="s">
        <v>223</v>
      </c>
      <c r="AO30" s="74" t="s">
        <v>216</v>
      </c>
      <c r="AP30" s="64" t="s">
        <v>217</v>
      </c>
    </row>
    <row r="31" spans="1:42" ht="69" x14ac:dyDescent="0.3">
      <c r="A31" s="120">
        <v>8</v>
      </c>
      <c r="B31" s="126" t="s">
        <v>110</v>
      </c>
      <c r="C31" s="74" t="s">
        <v>53</v>
      </c>
      <c r="D31" s="101" t="s">
        <v>15</v>
      </c>
      <c r="E31" s="101" t="s">
        <v>134</v>
      </c>
      <c r="F31" s="90" t="s">
        <v>224</v>
      </c>
      <c r="G31" s="122" t="s">
        <v>225</v>
      </c>
      <c r="H31" s="98" t="s">
        <v>226</v>
      </c>
      <c r="I31" s="101" t="s">
        <v>140</v>
      </c>
      <c r="J31" s="105">
        <v>2</v>
      </c>
      <c r="K31" s="120">
        <v>5</v>
      </c>
      <c r="L31" s="121">
        <f>J31*K31</f>
        <v>10</v>
      </c>
      <c r="M31" s="100" t="str">
        <f>IF(AND(J31=1,K31=1),"BAJO",IF(AND(J31=1,K31=2),"BAJO",IF(AND(J31=2,K31=1),"BAJO",IF(AND(J31=2,K31=2),"BAJO",IF(AND(J31=3,K31=1),"BAJO",IF(AND(J31=1,K31=3),"MODERADO",IF(AND(J31=2,K31=3),"MODERADO",IF(AND(J31=3,K31=2),"MODERADO",IF(AND(J31=4,K31=1),"MODERADO",IF(AND(J31=5,K31=1),"ALTO",IF(AND(J31=4,K31=2),"ALTO",IF(AND(J31=3,K31=3),"ALTO",IF(AND(J31=2,K31=4),"ALTO",IF(AND(J31=1,K31=4),"ALTO",IF(AND(J31=5,K31=2),"ALTO",IF(AND(J31=4,K31=3),"ALTO","EXTREMO"))))))))))))))))</f>
        <v>EXTREMO</v>
      </c>
      <c r="N31" s="51" t="s">
        <v>227</v>
      </c>
      <c r="O31" s="75" t="s">
        <v>0</v>
      </c>
      <c r="P31" s="74" t="s">
        <v>119</v>
      </c>
      <c r="Q31" s="74" t="s">
        <v>120</v>
      </c>
      <c r="R31" s="52" t="s">
        <v>112</v>
      </c>
      <c r="S31" s="80">
        <f>IF(R31="Asignado",[7]Listas!$C$30,[7]Listas!$C$31)</f>
        <v>15</v>
      </c>
      <c r="T31" s="52" t="s">
        <v>63</v>
      </c>
      <c r="U31" s="80">
        <f>IF(T31="Adecuado",[7]Listas!$C$32,[7]Listas!$C$33)</f>
        <v>15</v>
      </c>
      <c r="V31" s="52" t="s">
        <v>65</v>
      </c>
      <c r="W31" s="80">
        <f>IF(V31="Oportuna",[7]Listas!$C$34,[7]Listas!$C$35)</f>
        <v>15</v>
      </c>
      <c r="X31" s="52" t="s">
        <v>73</v>
      </c>
      <c r="Y31" s="80">
        <f>IF(X31="Prevenir",[7]Listas!$C$36,IF(X31="Detectar",[7]Listas!$C$37,[7]Listas!$C$38))</f>
        <v>15</v>
      </c>
      <c r="Z31" s="52" t="s">
        <v>68</v>
      </c>
      <c r="AA31" s="80">
        <f>IF(Z31="Confiable",[7]Listas!$C$39,[7]Listas!$C$40)</f>
        <v>15</v>
      </c>
      <c r="AB31" s="52" t="s">
        <v>70</v>
      </c>
      <c r="AC31" s="80">
        <f>IF(AB31="Se investigan y resuelven oportunamente",[7]Listas!$C$41,[7]Listas!$C$42)</f>
        <v>15</v>
      </c>
      <c r="AD31" s="52" t="s">
        <v>72</v>
      </c>
      <c r="AE31" s="80">
        <f>IF(AD31="Completa",[7]Listas!$C$43,IF(AD31="Incompleta",[7]Listas!$C$44,[7]Listas!$C$45))</f>
        <v>10</v>
      </c>
      <c r="AF31" s="75">
        <f>S31+U31+W31+Y31+AA31+AC31+AE31</f>
        <v>100</v>
      </c>
      <c r="AG31" s="105">
        <f>AVERAGE(AF31:AF32)</f>
        <v>100</v>
      </c>
      <c r="AH31" s="105">
        <v>1</v>
      </c>
      <c r="AI31" s="120">
        <v>5</v>
      </c>
      <c r="AJ31" s="121">
        <f>AH31*AI31</f>
        <v>5</v>
      </c>
      <c r="AK31" s="100" t="str">
        <f>IF(AND(AH31=1,AI31=1),"BAJO",IF(AND(AH31=1,AI31=2),"BAJO",IF(AND(AH31=2,AI31=1),"BAJO",IF(AND(AH31=2,AI31=2),"BAJO",IF(AND(AH31=3,AI31=1),"BAJO",IF(AND(AH31=1,AI31=3),"MODERADO",IF(AND(AH31=2,AI31=3),"MODERADO",IF(AND(AH31=3,AI31=2),"MODERADO",IF(AND(AH31=4,AI31=1),"MODERADO",IF(AND(AH31=5,AI31=1),"ALTO",IF(AND(AH31=4,AI31=2),"ALTO",IF(AND(AH31=3,AI31=3),"ALTO",IF(AND(AH31=2,AI31=4),"ALTO",IF(AND(AH31=1,AI31=4),"ALTO",IF(AND(AH31=5,AI31=2),"ALTO",IF(AND(AH31=4,AI31=3),"ALTO","EXTREMO"))))))))))))))))</f>
        <v>EXTREMO</v>
      </c>
      <c r="AL31" s="98" t="s">
        <v>95</v>
      </c>
      <c r="AM31" s="101" t="s">
        <v>228</v>
      </c>
      <c r="AN31" s="101" t="s">
        <v>229</v>
      </c>
      <c r="AO31" s="101" t="s">
        <v>230</v>
      </c>
      <c r="AP31" s="103" t="s">
        <v>231</v>
      </c>
    </row>
    <row r="32" spans="1:42" ht="96.6" x14ac:dyDescent="0.3">
      <c r="A32" s="120"/>
      <c r="B32" s="126"/>
      <c r="C32" s="74" t="s">
        <v>50</v>
      </c>
      <c r="D32" s="102"/>
      <c r="E32" s="110"/>
      <c r="F32" s="90" t="s">
        <v>232</v>
      </c>
      <c r="G32" s="123"/>
      <c r="H32" s="99"/>
      <c r="I32" s="102"/>
      <c r="J32" s="106"/>
      <c r="K32" s="120"/>
      <c r="L32" s="121"/>
      <c r="M32" s="100"/>
      <c r="N32" s="90" t="s">
        <v>233</v>
      </c>
      <c r="O32" s="75" t="s">
        <v>0</v>
      </c>
      <c r="P32" s="74" t="s">
        <v>118</v>
      </c>
      <c r="Q32" s="74" t="s">
        <v>120</v>
      </c>
      <c r="R32" s="52" t="s">
        <v>112</v>
      </c>
      <c r="S32" s="80">
        <f>IF(R32="Asignado",[7]Listas!$C$30,[7]Listas!$C$31)</f>
        <v>15</v>
      </c>
      <c r="T32" s="52" t="s">
        <v>63</v>
      </c>
      <c r="U32" s="80">
        <f>IF(T32="Adecuado",[7]Listas!$C$32,[7]Listas!$C$33)</f>
        <v>15</v>
      </c>
      <c r="V32" s="52" t="s">
        <v>65</v>
      </c>
      <c r="W32" s="80">
        <f>IF(V32="Oportuna",[7]Listas!$C$34,[7]Listas!$C$35)</f>
        <v>15</v>
      </c>
      <c r="X32" s="52" t="s">
        <v>73</v>
      </c>
      <c r="Y32" s="80">
        <f>IF(X32="Prevenir",[7]Listas!$C$36,IF(X32="Detectar",[7]Listas!$C$37,[7]Listas!$C$38))</f>
        <v>15</v>
      </c>
      <c r="Z32" s="52" t="s">
        <v>68</v>
      </c>
      <c r="AA32" s="80">
        <f>IF(Z32="Confiable",[7]Listas!$C$39,[7]Listas!$C$40)</f>
        <v>15</v>
      </c>
      <c r="AB32" s="52" t="s">
        <v>70</v>
      </c>
      <c r="AC32" s="80">
        <f>IF(AB32="Se investigan y resuelven oportunamente",[7]Listas!$C$41,[7]Listas!$C$42)</f>
        <v>15</v>
      </c>
      <c r="AD32" s="52" t="s">
        <v>72</v>
      </c>
      <c r="AE32" s="80">
        <f>IF(AD32="Completa",[7]Listas!$C$43,IF(AD32="Incompleta",[7]Listas!$C$44,[7]Listas!$C$45))</f>
        <v>10</v>
      </c>
      <c r="AF32" s="75">
        <f t="shared" ref="AF32:AF33" si="25">S32+U32+W32+Y32+AA32+AC32+AE32</f>
        <v>100</v>
      </c>
      <c r="AG32" s="106"/>
      <c r="AH32" s="106"/>
      <c r="AI32" s="120"/>
      <c r="AJ32" s="121"/>
      <c r="AK32" s="100"/>
      <c r="AL32" s="99"/>
      <c r="AM32" s="102"/>
      <c r="AN32" s="102"/>
      <c r="AO32" s="102"/>
      <c r="AP32" s="104"/>
    </row>
    <row r="33" spans="1:42" x14ac:dyDescent="0.3">
      <c r="A33" s="120"/>
      <c r="B33" s="126"/>
      <c r="C33" s="74" t="s">
        <v>52</v>
      </c>
      <c r="D33" s="51"/>
      <c r="E33" s="101" t="s">
        <v>134</v>
      </c>
      <c r="F33" s="90" t="s">
        <v>234</v>
      </c>
      <c r="G33" s="122" t="s">
        <v>235</v>
      </c>
      <c r="H33" s="98" t="s">
        <v>236</v>
      </c>
      <c r="I33" s="101" t="s">
        <v>140</v>
      </c>
      <c r="J33" s="105">
        <v>2</v>
      </c>
      <c r="K33" s="120">
        <v>3</v>
      </c>
      <c r="L33" s="121">
        <f t="shared" ref="L33" si="26">J33*K33</f>
        <v>6</v>
      </c>
      <c r="M33" s="100" t="str">
        <f t="shared" ref="M33" si="27">IF(AND(J33=1,K33=1),"BAJO",IF(AND(J33=1,K33=2),"BAJO",IF(AND(J33=2,K33=1),"BAJO",IF(AND(J33=2,K33=2),"BAJO",IF(AND(J33=3,K33=1),"BAJO",IF(AND(J33=1,K33=3),"MODERADO",IF(AND(J33=2,K33=3),"MODERADO",IF(AND(J33=3,K33=2),"MODERADO",IF(AND(J33=4,K33=1),"MODERADO",IF(AND(J33=5,K33=1),"ALTO",IF(AND(J33=4,K33=2),"ALTO",IF(AND(J33=3,K33=3),"ALTO",IF(AND(J33=2,K33=4),"ALTO",IF(AND(J33=1,K33=4),"ALTO",IF(AND(J33=5,K33=2),"ALTO",IF(AND(J33=4,K33=3),"ALTO","EXTREMO"))))))))))))))))</f>
        <v>MODERADO</v>
      </c>
      <c r="N33" s="124" t="s">
        <v>237</v>
      </c>
      <c r="O33" s="105" t="s">
        <v>0</v>
      </c>
      <c r="P33" s="101" t="s">
        <v>118</v>
      </c>
      <c r="Q33" s="101" t="s">
        <v>120</v>
      </c>
      <c r="R33" s="98" t="s">
        <v>112</v>
      </c>
      <c r="S33" s="98">
        <f>IF(R33="Asignado",[7]Listas!$C$30,[7]Listas!$C$31)</f>
        <v>15</v>
      </c>
      <c r="T33" s="98" t="s">
        <v>63</v>
      </c>
      <c r="U33" s="98">
        <f>IF(T33="Adecuado",[7]Listas!$C$32,[7]Listas!$C$33)</f>
        <v>15</v>
      </c>
      <c r="V33" s="98" t="s">
        <v>65</v>
      </c>
      <c r="W33" s="98">
        <f>IF(V33="Oportuna",[7]Listas!$C$34,[7]Listas!$C$35)</f>
        <v>15</v>
      </c>
      <c r="X33" s="98" t="s">
        <v>73</v>
      </c>
      <c r="Y33" s="98">
        <f>IF(X33="Prevenir",[7]Listas!$C$36,IF(X33="Detectar",[7]Listas!$C$37,[7]Listas!$C$38))</f>
        <v>15</v>
      </c>
      <c r="Z33" s="98" t="s">
        <v>68</v>
      </c>
      <c r="AA33" s="98">
        <f>IF(Z33="Confiable",[7]Listas!$C$39,[7]Listas!$C$40)</f>
        <v>15</v>
      </c>
      <c r="AB33" s="98" t="s">
        <v>70</v>
      </c>
      <c r="AC33" s="98">
        <f>IF(AB33="Se investigan y resuelven oportunamente",[7]Listas!$C$41,[7]Listas!$C$42)</f>
        <v>15</v>
      </c>
      <c r="AD33" s="98" t="s">
        <v>72</v>
      </c>
      <c r="AE33" s="98">
        <f>IF(AD33="Completa",[7]Listas!$C$43,IF(AD33="Incompleta",[7]Listas!$C$44,[7]Listas!$C$45))</f>
        <v>10</v>
      </c>
      <c r="AF33" s="105">
        <f t="shared" si="25"/>
        <v>100</v>
      </c>
      <c r="AG33" s="105">
        <f>AVERAGE(AF33:AF33)</f>
        <v>100</v>
      </c>
      <c r="AH33" s="105">
        <v>1</v>
      </c>
      <c r="AI33" s="120">
        <v>3</v>
      </c>
      <c r="AJ33" s="121">
        <f>+AH33*AI33</f>
        <v>3</v>
      </c>
      <c r="AK33" s="100" t="str">
        <f t="shared" ref="AK33" si="28">IF(AND(AH33=1,AI33=1),"BAJO",IF(AND(AH33=1,AI33=2),"BAJO",IF(AND(AH33=2,AI33=1),"BAJO",IF(AND(AH33=2,AI33=2),"BAJO",IF(AND(AH33=3,AI33=1),"BAJO",IF(AND(AH33=1,AI33=3),"MODERADO",IF(AND(AH33=2,AI33=3),"MODERADO",IF(AND(AH33=3,AI33=2),"MODERADO",IF(AND(AH33=4,AI33=1),"MODERADO",IF(AND(AH33=5,AI33=1),"ALTO",IF(AND(AH33=4,AI33=2),"ALTO",IF(AND(AH33=3,AI33=3),"ALTO",IF(AND(AH33=2,AI33=4),"ALTO",IF(AND(AH33=1,AI33=4),"ALTO",IF(AND(AH33=5,AI33=2),"ALTO",IF(AND(AH33=4,AI33=3),"ALTO","EXTREMO"))))))))))))))))</f>
        <v>MODERADO</v>
      </c>
      <c r="AL33" s="98" t="s">
        <v>95</v>
      </c>
      <c r="AM33" s="101" t="s">
        <v>238</v>
      </c>
      <c r="AN33" s="101" t="s">
        <v>239</v>
      </c>
      <c r="AO33" s="101" t="s">
        <v>230</v>
      </c>
      <c r="AP33" s="103" t="s">
        <v>231</v>
      </c>
    </row>
    <row r="34" spans="1:42" ht="27.6" x14ac:dyDescent="0.3">
      <c r="A34" s="120"/>
      <c r="B34" s="126"/>
      <c r="C34" s="74" t="s">
        <v>53</v>
      </c>
      <c r="D34" s="74" t="s">
        <v>15</v>
      </c>
      <c r="E34" s="110"/>
      <c r="F34" s="90" t="s">
        <v>240</v>
      </c>
      <c r="G34" s="123"/>
      <c r="H34" s="99"/>
      <c r="I34" s="102"/>
      <c r="J34" s="106"/>
      <c r="K34" s="120"/>
      <c r="L34" s="121"/>
      <c r="M34" s="100"/>
      <c r="N34" s="125"/>
      <c r="O34" s="106"/>
      <c r="P34" s="102"/>
      <c r="Q34" s="102"/>
      <c r="R34" s="99"/>
      <c r="S34" s="99"/>
      <c r="T34" s="99"/>
      <c r="U34" s="99"/>
      <c r="V34" s="99"/>
      <c r="W34" s="99"/>
      <c r="X34" s="99"/>
      <c r="Y34" s="99"/>
      <c r="Z34" s="99"/>
      <c r="AA34" s="99"/>
      <c r="AB34" s="99"/>
      <c r="AC34" s="99"/>
      <c r="AD34" s="99"/>
      <c r="AE34" s="99"/>
      <c r="AF34" s="106"/>
      <c r="AG34" s="106"/>
      <c r="AH34" s="106"/>
      <c r="AI34" s="120"/>
      <c r="AJ34" s="121"/>
      <c r="AK34" s="100"/>
      <c r="AL34" s="99"/>
      <c r="AM34" s="102"/>
      <c r="AN34" s="102"/>
      <c r="AO34" s="102"/>
      <c r="AP34" s="104"/>
    </row>
    <row r="35" spans="1:42" ht="42.75" customHeight="1" x14ac:dyDescent="0.3">
      <c r="A35" s="120">
        <v>9</v>
      </c>
      <c r="B35" s="126" t="s">
        <v>115</v>
      </c>
      <c r="C35" s="74" t="s">
        <v>52</v>
      </c>
      <c r="D35" s="74" t="s">
        <v>113</v>
      </c>
      <c r="E35" s="101" t="s">
        <v>134</v>
      </c>
      <c r="F35" s="107" t="s">
        <v>241</v>
      </c>
      <c r="G35" s="141" t="s">
        <v>242</v>
      </c>
      <c r="H35" s="94" t="s">
        <v>243</v>
      </c>
      <c r="I35" s="101" t="s">
        <v>140</v>
      </c>
      <c r="J35" s="105">
        <v>1</v>
      </c>
      <c r="K35" s="120">
        <v>4</v>
      </c>
      <c r="L35" s="121">
        <f t="shared" ref="L35" si="29">J35*K35</f>
        <v>4</v>
      </c>
      <c r="M35" s="100" t="str">
        <f t="shared" ref="M35" si="30">IF(AND(J35=1,K35=1),"BAJO",IF(AND(J35=1,K35=2),"BAJO",IF(AND(J35=2,K35=1),"BAJO",IF(AND(J35=2,K35=2),"BAJO",IF(AND(J35=3,K35=1),"BAJO",IF(AND(J35=1,K35=3),"MODERADO",IF(AND(J35=2,K35=3),"MODERADO",IF(AND(J35=3,K35=2),"MODERADO",IF(AND(J35=4,K35=1),"MODERADO",IF(AND(J35=5,K35=1),"ALTO",IF(AND(J35=4,K35=2),"ALTO",IF(AND(J35=3,K35=3),"ALTO",IF(AND(J35=2,K35=4),"ALTO",IF(AND(J35=1,K35=4),"ALTO",IF(AND(J35=5,K35=2),"ALTO",IF(AND(J35=4,K35=3),"ALTO","EXTREMO"))))))))))))))))</f>
        <v>ALTO</v>
      </c>
      <c r="N35" s="61" t="s">
        <v>244</v>
      </c>
      <c r="O35" s="75" t="s">
        <v>0</v>
      </c>
      <c r="P35" s="74" t="s">
        <v>118</v>
      </c>
      <c r="Q35" s="74" t="s">
        <v>120</v>
      </c>
      <c r="R35" s="52" t="s">
        <v>112</v>
      </c>
      <c r="S35" s="80">
        <f>IF(R35="Asignado",[8]Listas!$C$30,[8]Listas!$C$31)</f>
        <v>15</v>
      </c>
      <c r="T35" s="52" t="s">
        <v>63</v>
      </c>
      <c r="U35" s="80">
        <f>IF(T35="Adecuado",[8]Listas!$C$32,[8]Listas!$C$33)</f>
        <v>15</v>
      </c>
      <c r="V35" s="52" t="s">
        <v>65</v>
      </c>
      <c r="W35" s="80">
        <f>IF(V35="Oportuna",[8]Listas!$C$34,[8]Listas!$C$35)</f>
        <v>15</v>
      </c>
      <c r="X35" s="52" t="s">
        <v>73</v>
      </c>
      <c r="Y35" s="80">
        <f>IF(X35="Prevenir",[8]Listas!$C$36,IF(X35="Detectar",[8]Listas!$C$37,[8]Listas!$C$38))</f>
        <v>15</v>
      </c>
      <c r="Z35" s="52" t="s">
        <v>68</v>
      </c>
      <c r="AA35" s="80">
        <f>IF(Z35="Confiable",[8]Listas!$C$39,[8]Listas!$C$40)</f>
        <v>15</v>
      </c>
      <c r="AB35" s="52" t="s">
        <v>70</v>
      </c>
      <c r="AC35" s="80">
        <f>IF(AB35="Se investigan y resuelven oportunamente",[8]Listas!$C$41,[8]Listas!$C$42)</f>
        <v>15</v>
      </c>
      <c r="AD35" s="52" t="s">
        <v>72</v>
      </c>
      <c r="AE35" s="80">
        <f>IF(AD35="Completa",[8]Listas!$C$43,IF(AD35="Incompleta",[8]Listas!$C$44,[8]Listas!$C$45))</f>
        <v>10</v>
      </c>
      <c r="AF35" s="75">
        <f t="shared" ref="AF35:AF37" si="31">S35+U35+W35+Y35+AA35+AC35+AE35</f>
        <v>100</v>
      </c>
      <c r="AG35" s="189">
        <f>+(AF35+AF36+AF37)/3</f>
        <v>100</v>
      </c>
      <c r="AH35" s="105">
        <v>1</v>
      </c>
      <c r="AI35" s="120">
        <v>4</v>
      </c>
      <c r="AJ35" s="121">
        <f t="shared" ref="AJ35" si="32">AH35*AI35</f>
        <v>4</v>
      </c>
      <c r="AK35" s="100" t="str">
        <f t="shared" ref="AK35" si="33">IF(AND(AH35=1,AI35=1),"BAJO",IF(AND(AH35=1,AI35=2),"BAJO",IF(AND(AH35=2,AI35=1),"BAJO",IF(AND(AH35=2,AI35=2),"BAJO",IF(AND(AH35=3,AI35=1),"BAJO",IF(AND(AH35=1,AI35=3),"MODERADO",IF(AND(AH35=2,AI35=3),"MODERADO",IF(AND(AH35=3,AI35=2),"MODERADO",IF(AND(AH35=4,AI35=1),"MODERADO",IF(AND(AH35=5,AI35=1),"ALTO",IF(AND(AH35=4,AI35=2),"ALTO",IF(AND(AH35=3,AI35=3),"ALTO",IF(AND(AH35=2,AI35=4),"ALTO",IF(AND(AH35=1,AI35=4),"ALTO",IF(AND(AH35=5,AI35=2),"ALTO",IF(AND(AH35=4,AI35=3),"ALTO","EXTREMO"))))))))))))))))</f>
        <v>ALTO</v>
      </c>
      <c r="AL35" s="187" t="s">
        <v>95</v>
      </c>
      <c r="AM35" s="51" t="s">
        <v>245</v>
      </c>
      <c r="AN35" s="51" t="s">
        <v>246</v>
      </c>
      <c r="AO35" s="51" t="s">
        <v>247</v>
      </c>
      <c r="AP35" s="95" t="s">
        <v>248</v>
      </c>
    </row>
    <row r="36" spans="1:42" ht="165.6" x14ac:dyDescent="0.3">
      <c r="A36" s="120"/>
      <c r="B36" s="126"/>
      <c r="C36" s="101" t="s">
        <v>50</v>
      </c>
      <c r="D36" s="101" t="s">
        <v>113</v>
      </c>
      <c r="E36" s="110"/>
      <c r="F36" s="108"/>
      <c r="G36" s="142"/>
      <c r="H36" s="94" t="s">
        <v>249</v>
      </c>
      <c r="I36" s="110"/>
      <c r="J36" s="119"/>
      <c r="K36" s="120"/>
      <c r="L36" s="121"/>
      <c r="M36" s="100"/>
      <c r="N36" s="61" t="s">
        <v>250</v>
      </c>
      <c r="O36" s="75" t="s">
        <v>0</v>
      </c>
      <c r="P36" s="74" t="s">
        <v>118</v>
      </c>
      <c r="Q36" s="74" t="s">
        <v>120</v>
      </c>
      <c r="R36" s="52" t="s">
        <v>112</v>
      </c>
      <c r="S36" s="80">
        <f>IF(R36="Asignado",[8]Listas!$C$30,[8]Listas!$C$31)</f>
        <v>15</v>
      </c>
      <c r="T36" s="52" t="s">
        <v>63</v>
      </c>
      <c r="U36" s="80">
        <f>IF(T36="Adecuado",[8]Listas!$C$32,[8]Listas!$C$33)</f>
        <v>15</v>
      </c>
      <c r="V36" s="52" t="s">
        <v>65</v>
      </c>
      <c r="W36" s="80">
        <f>IF(V36="Oportuna",[8]Listas!$C$34,[8]Listas!$C$35)</f>
        <v>15</v>
      </c>
      <c r="X36" s="52" t="s">
        <v>73</v>
      </c>
      <c r="Y36" s="80">
        <f>IF(X36="Prevenir",[8]Listas!$C$36,IF(X36="Detectar",[8]Listas!$C$37,[8]Listas!$C$38))</f>
        <v>15</v>
      </c>
      <c r="Z36" s="52" t="s">
        <v>68</v>
      </c>
      <c r="AA36" s="80">
        <f>IF(Z36="Confiable",[8]Listas!$C$39,[8]Listas!$C$40)</f>
        <v>15</v>
      </c>
      <c r="AB36" s="52" t="s">
        <v>70</v>
      </c>
      <c r="AC36" s="80">
        <f>IF(AB36="Se investigan y resuelven oportunamente",[8]Listas!$C$41,[8]Listas!$C$42)</f>
        <v>15</v>
      </c>
      <c r="AD36" s="52" t="s">
        <v>72</v>
      </c>
      <c r="AE36" s="80">
        <f>IF(AD36="Completa",[8]Listas!$C$43,IF(AD36="Incompleta",[8]Listas!$C$44,[8]Listas!$C$45))</f>
        <v>10</v>
      </c>
      <c r="AF36" s="75">
        <f t="shared" si="31"/>
        <v>100</v>
      </c>
      <c r="AG36" s="190"/>
      <c r="AH36" s="119"/>
      <c r="AI36" s="120"/>
      <c r="AJ36" s="121"/>
      <c r="AK36" s="100"/>
      <c r="AL36" s="187"/>
      <c r="AM36" s="111" t="s">
        <v>251</v>
      </c>
      <c r="AN36" s="111" t="s">
        <v>252</v>
      </c>
      <c r="AO36" s="111" t="s">
        <v>247</v>
      </c>
      <c r="AP36" s="114" t="s">
        <v>34</v>
      </c>
    </row>
    <row r="37" spans="1:42" ht="27.6" x14ac:dyDescent="0.3">
      <c r="A37" s="120"/>
      <c r="B37" s="126"/>
      <c r="C37" s="110"/>
      <c r="D37" s="110"/>
      <c r="E37" s="110"/>
      <c r="F37" s="108"/>
      <c r="G37" s="142"/>
      <c r="H37" s="94" t="s">
        <v>253</v>
      </c>
      <c r="I37" s="110"/>
      <c r="J37" s="119"/>
      <c r="K37" s="120"/>
      <c r="L37" s="121"/>
      <c r="M37" s="100"/>
      <c r="N37" s="117" t="s">
        <v>254</v>
      </c>
      <c r="O37" s="105" t="s">
        <v>0</v>
      </c>
      <c r="P37" s="101" t="s">
        <v>118</v>
      </c>
      <c r="Q37" s="101" t="s">
        <v>120</v>
      </c>
      <c r="R37" s="98" t="s">
        <v>112</v>
      </c>
      <c r="S37" s="98">
        <f>IF(R37="Asignado",[8]Listas!$C$30,[8]Listas!$C$31)</f>
        <v>15</v>
      </c>
      <c r="T37" s="98" t="s">
        <v>63</v>
      </c>
      <c r="U37" s="98">
        <f>IF(T37="Adecuado",[8]Listas!$C$32,[8]Listas!$C$33)</f>
        <v>15</v>
      </c>
      <c r="V37" s="98" t="s">
        <v>65</v>
      </c>
      <c r="W37" s="98">
        <f>IF(V37="Oportuna",[8]Listas!$C$34,[8]Listas!$C$35)</f>
        <v>15</v>
      </c>
      <c r="X37" s="98" t="s">
        <v>73</v>
      </c>
      <c r="Y37" s="98">
        <f>IF(X37="Prevenir",[8]Listas!$C$36,IF(X37="Detectar",[8]Listas!$C$37,[8]Listas!$C$38))</f>
        <v>15</v>
      </c>
      <c r="Z37" s="98" t="s">
        <v>68</v>
      </c>
      <c r="AA37" s="98">
        <f>IF(Z37="Confiable",[8]Listas!$C$39,[8]Listas!$C$40)</f>
        <v>15</v>
      </c>
      <c r="AB37" s="98" t="s">
        <v>70</v>
      </c>
      <c r="AC37" s="98">
        <f>IF(AB37="Se investigan y resuelven oportunamente",[8]Listas!$C$41,[8]Listas!$C$42)</f>
        <v>15</v>
      </c>
      <c r="AD37" s="98" t="s">
        <v>72</v>
      </c>
      <c r="AE37" s="98">
        <f>IF(AD37="Completa",[8]Listas!$C$43,IF(AD37="Incompleta",[8]Listas!$C$44,[8]Listas!$C$45))</f>
        <v>10</v>
      </c>
      <c r="AF37" s="105">
        <f t="shared" si="31"/>
        <v>100</v>
      </c>
      <c r="AG37" s="190"/>
      <c r="AH37" s="119"/>
      <c r="AI37" s="120"/>
      <c r="AJ37" s="121"/>
      <c r="AK37" s="100"/>
      <c r="AL37" s="187"/>
      <c r="AM37" s="112"/>
      <c r="AN37" s="112"/>
      <c r="AO37" s="112"/>
      <c r="AP37" s="115"/>
    </row>
    <row r="38" spans="1:42" ht="82.8" x14ac:dyDescent="0.3">
      <c r="A38" s="120"/>
      <c r="B38" s="126"/>
      <c r="C38" s="102"/>
      <c r="D38" s="102"/>
      <c r="E38" s="102"/>
      <c r="F38" s="109"/>
      <c r="G38" s="143"/>
      <c r="H38" s="96" t="s">
        <v>255</v>
      </c>
      <c r="I38" s="102"/>
      <c r="J38" s="106"/>
      <c r="K38" s="120"/>
      <c r="L38" s="121"/>
      <c r="M38" s="100"/>
      <c r="N38" s="118"/>
      <c r="O38" s="106"/>
      <c r="P38" s="102"/>
      <c r="Q38" s="102"/>
      <c r="R38" s="99"/>
      <c r="S38" s="99"/>
      <c r="T38" s="99"/>
      <c r="U38" s="99"/>
      <c r="V38" s="99"/>
      <c r="W38" s="99"/>
      <c r="X38" s="99"/>
      <c r="Y38" s="99"/>
      <c r="Z38" s="99"/>
      <c r="AA38" s="99"/>
      <c r="AB38" s="99"/>
      <c r="AC38" s="99"/>
      <c r="AD38" s="99"/>
      <c r="AE38" s="99"/>
      <c r="AF38" s="106"/>
      <c r="AG38" s="191"/>
      <c r="AH38" s="106"/>
      <c r="AI38" s="120"/>
      <c r="AJ38" s="121"/>
      <c r="AK38" s="100"/>
      <c r="AL38" s="187"/>
      <c r="AM38" s="113"/>
      <c r="AN38" s="113"/>
      <c r="AO38" s="113"/>
      <c r="AP38" s="116"/>
    </row>
    <row r="39" spans="1:42" ht="14.25" hidden="1" customHeight="1" x14ac:dyDescent="0.3">
      <c r="A39" s="120">
        <v>10</v>
      </c>
      <c r="B39" s="126" t="s">
        <v>264</v>
      </c>
      <c r="C39" s="192"/>
      <c r="D39" s="192"/>
      <c r="E39" s="192"/>
      <c r="F39" s="192"/>
      <c r="G39" s="192"/>
      <c r="H39" s="192"/>
      <c r="I39" s="193"/>
      <c r="J39" s="194"/>
      <c r="K39" s="120"/>
      <c r="L39" s="121"/>
      <c r="M39" s="100"/>
      <c r="N39" s="134"/>
      <c r="O39" s="119"/>
      <c r="P39" s="110"/>
      <c r="Q39" s="110"/>
      <c r="R39" s="134"/>
      <c r="S39" s="134">
        <f>IF(R39="Asignado",[9]Listas!$C$30,[9]Listas!$C$31)</f>
        <v>0</v>
      </c>
      <c r="T39" s="134"/>
      <c r="U39" s="134">
        <f>IF(T39="Adecuado",[9]Listas!$C$32,[9]Listas!$C$33)</f>
        <v>0</v>
      </c>
      <c r="V39" s="134"/>
      <c r="W39" s="134">
        <f>IF(V39="Oportuna",[9]Listas!$C$34,[9]Listas!$C$35)</f>
        <v>0</v>
      </c>
      <c r="X39" s="134"/>
      <c r="Y39" s="134">
        <f>IF(X39="Prevenir",[9]Listas!$C$36,IF(X39="Detectar",[9]Listas!$C$37,[9]Listas!$C$38))</f>
        <v>0</v>
      </c>
      <c r="Z39" s="134"/>
      <c r="AA39" s="134">
        <f>IF(Z39="Confiable",[9]Listas!$C$39,[9]Listas!$C$40)</f>
        <v>0</v>
      </c>
      <c r="AB39" s="134"/>
      <c r="AC39" s="134">
        <f>IF(AB39="Se investigan y resuelven oportunamente",[9]Listas!$C$41,[9]Listas!$C$42)</f>
        <v>0</v>
      </c>
      <c r="AD39" s="134"/>
      <c r="AE39" s="134">
        <f>IF(AD39="Completa",[9]Listas!$C$43,IF(AD39="Incompleta",[9]Listas!$C$44,[9]Listas!$C$45))</f>
        <v>0</v>
      </c>
      <c r="AF39" s="119">
        <f t="shared" ref="AF39:AF41" si="34">S39+U39+W39+Y39+AA39+AC39+AE39</f>
        <v>0</v>
      </c>
      <c r="AG39" s="120"/>
      <c r="AH39" s="194"/>
      <c r="AI39" s="120"/>
      <c r="AJ39" s="121"/>
      <c r="AK39" s="100"/>
      <c r="AL39" s="187"/>
      <c r="AM39" s="195"/>
      <c r="AN39" s="110"/>
      <c r="AO39" s="195"/>
      <c r="AP39" s="197"/>
    </row>
    <row r="40" spans="1:42" ht="14.25" hidden="1" customHeight="1" x14ac:dyDescent="0.3">
      <c r="A40" s="120"/>
      <c r="B40" s="126"/>
      <c r="C40" s="192"/>
      <c r="D40" s="192"/>
      <c r="E40" s="192"/>
      <c r="F40" s="192"/>
      <c r="G40" s="192"/>
      <c r="H40" s="192"/>
      <c r="I40" s="193"/>
      <c r="J40" s="194"/>
      <c r="K40" s="120"/>
      <c r="L40" s="121"/>
      <c r="M40" s="100"/>
      <c r="N40" s="134"/>
      <c r="O40" s="119"/>
      <c r="P40" s="110"/>
      <c r="Q40" s="110"/>
      <c r="R40" s="134"/>
      <c r="S40" s="134">
        <f>IF(R40="Asignado",[9]Listas!$C$30,[9]Listas!$C$31)</f>
        <v>0</v>
      </c>
      <c r="T40" s="134"/>
      <c r="U40" s="134">
        <f>IF(T40="Adecuado",[9]Listas!$C$32,[9]Listas!$C$33)</f>
        <v>0</v>
      </c>
      <c r="V40" s="134"/>
      <c r="W40" s="134">
        <f>IF(V40="Oportuna",[9]Listas!$C$34,[9]Listas!$C$35)</f>
        <v>0</v>
      </c>
      <c r="X40" s="134"/>
      <c r="Y40" s="134">
        <f>IF(X40="Prevenir",[9]Listas!$C$36,IF(X40="Detectar",[9]Listas!$C$37,[9]Listas!$C$38))</f>
        <v>0</v>
      </c>
      <c r="Z40" s="134"/>
      <c r="AA40" s="134">
        <f>IF(Z40="Confiable",[9]Listas!$C$39,[9]Listas!$C$40)</f>
        <v>0</v>
      </c>
      <c r="AB40" s="134"/>
      <c r="AC40" s="134">
        <f>IF(AB40="Se investigan y resuelven oportunamente",[9]Listas!$C$41,[9]Listas!$C$42)</f>
        <v>0</v>
      </c>
      <c r="AD40" s="134"/>
      <c r="AE40" s="134">
        <f>IF(AD40="Completa",[9]Listas!$C$43,IF(AD40="Incompleta",[9]Listas!$C$44,[9]Listas!$C$45))</f>
        <v>0</v>
      </c>
      <c r="AF40" s="119">
        <f t="shared" si="34"/>
        <v>0</v>
      </c>
      <c r="AG40" s="120"/>
      <c r="AH40" s="194"/>
      <c r="AI40" s="120"/>
      <c r="AJ40" s="121"/>
      <c r="AK40" s="100"/>
      <c r="AL40" s="187"/>
      <c r="AM40" s="195"/>
      <c r="AN40" s="110"/>
      <c r="AO40" s="195"/>
      <c r="AP40" s="197"/>
    </row>
    <row r="41" spans="1:42" ht="14.25" hidden="1" customHeight="1" x14ac:dyDescent="0.3">
      <c r="A41" s="120"/>
      <c r="B41" s="126"/>
      <c r="C41" s="192"/>
      <c r="D41" s="192"/>
      <c r="E41" s="192"/>
      <c r="F41" s="192"/>
      <c r="G41" s="192"/>
      <c r="H41" s="192"/>
      <c r="I41" s="193"/>
      <c r="J41" s="194"/>
      <c r="K41" s="120"/>
      <c r="L41" s="121"/>
      <c r="M41" s="100"/>
      <c r="N41" s="99"/>
      <c r="O41" s="106"/>
      <c r="P41" s="102"/>
      <c r="Q41" s="102"/>
      <c r="R41" s="99"/>
      <c r="S41" s="99">
        <f>IF(R41="Asignado",[9]Listas!$C$30,[9]Listas!$C$31)</f>
        <v>0</v>
      </c>
      <c r="T41" s="99"/>
      <c r="U41" s="99">
        <f>IF(T41="Adecuado",[9]Listas!$C$32,[9]Listas!$C$33)</f>
        <v>0</v>
      </c>
      <c r="V41" s="99"/>
      <c r="W41" s="99">
        <f>IF(V41="Oportuna",[9]Listas!$C$34,[9]Listas!$C$35)</f>
        <v>0</v>
      </c>
      <c r="X41" s="99"/>
      <c r="Y41" s="99">
        <f>IF(X41="Prevenir",[9]Listas!$C$36,IF(X41="Detectar",[9]Listas!$C$37,[9]Listas!$C$38))</f>
        <v>0</v>
      </c>
      <c r="Z41" s="99"/>
      <c r="AA41" s="99">
        <f>IF(Z41="Confiable",[9]Listas!$C$39,[9]Listas!$C$40)</f>
        <v>0</v>
      </c>
      <c r="AB41" s="99"/>
      <c r="AC41" s="99">
        <f>IF(AB41="Se investigan y resuelven oportunamente",[9]Listas!$C$41,[9]Listas!$C$42)</f>
        <v>0</v>
      </c>
      <c r="AD41" s="99"/>
      <c r="AE41" s="99">
        <f>IF(AD41="Completa",[9]Listas!$C$43,IF(AD41="Incompleta",[9]Listas!$C$44,[9]Listas!$C$45))</f>
        <v>0</v>
      </c>
      <c r="AF41" s="106">
        <f t="shared" si="34"/>
        <v>0</v>
      </c>
      <c r="AG41" s="120"/>
      <c r="AH41" s="194"/>
      <c r="AI41" s="120"/>
      <c r="AJ41" s="121"/>
      <c r="AK41" s="100"/>
      <c r="AL41" s="187"/>
      <c r="AM41" s="196"/>
      <c r="AN41" s="102"/>
      <c r="AO41" s="196"/>
      <c r="AP41" s="198"/>
    </row>
    <row r="42" spans="1:42" ht="14.25" customHeight="1" x14ac:dyDescent="0.3">
      <c r="A42" s="120"/>
      <c r="B42" s="126"/>
      <c r="C42" s="192" t="s">
        <v>52</v>
      </c>
      <c r="D42" s="192" t="s">
        <v>113</v>
      </c>
      <c r="E42" s="192" t="s">
        <v>134</v>
      </c>
      <c r="F42" s="192" t="s">
        <v>256</v>
      </c>
      <c r="G42" s="192" t="s">
        <v>257</v>
      </c>
      <c r="H42" s="192" t="s">
        <v>258</v>
      </c>
      <c r="I42" s="193" t="s">
        <v>130</v>
      </c>
      <c r="J42" s="194">
        <v>1</v>
      </c>
      <c r="K42" s="120">
        <v>3</v>
      </c>
      <c r="L42" s="121">
        <f t="shared" ref="L42" si="35">J42*K42</f>
        <v>3</v>
      </c>
      <c r="M42" s="100" t="str">
        <f t="shared" ref="M42" si="36">IF(AND(J42=1,K42=1),"BAJO",IF(AND(J42=1,K42=2),"BAJO",IF(AND(J42=2,K42=1),"BAJO",IF(AND(J42=2,K42=2),"BAJO",IF(AND(J42=3,K42=1),"BAJO",IF(AND(J42=1,K42=3),"MODERADO",IF(AND(J42=2,K42=3),"MODERADO",IF(AND(J42=3,K42=2),"MODERADO",IF(AND(J42=4,K42=1),"MODERADO",IF(AND(J42=5,K42=1),"ALTO",IF(AND(J42=4,K42=2),"ALTO",IF(AND(J42=3,K42=3),"ALTO",IF(AND(J42=2,K42=4),"ALTO",IF(AND(J42=1,K42=4),"ALTO",IF(AND(J42=5,K42=2),"ALTO",IF(AND(J42=4,K42=3),"ALTO","EXTREMO"))))))))))))))))</f>
        <v>MODERADO</v>
      </c>
      <c r="N42" s="98" t="s">
        <v>259</v>
      </c>
      <c r="O42" s="105" t="s">
        <v>0</v>
      </c>
      <c r="P42" s="101" t="s">
        <v>118</v>
      </c>
      <c r="Q42" s="101" t="s">
        <v>118</v>
      </c>
      <c r="R42" s="98" t="s">
        <v>112</v>
      </c>
      <c r="S42" s="98">
        <f>IF(R42="Asignado",[9]Listas!$C$30,[9]Listas!$C$31)</f>
        <v>15</v>
      </c>
      <c r="T42" s="98" t="s">
        <v>63</v>
      </c>
      <c r="U42" s="98">
        <f>IF(T42="Adecuado",[9]Listas!$C$32,[9]Listas!$C$33)</f>
        <v>15</v>
      </c>
      <c r="V42" s="98" t="s">
        <v>65</v>
      </c>
      <c r="W42" s="98">
        <f>IF(V42="Oportuna",[9]Listas!$C$34,[9]Listas!$C$35)</f>
        <v>15</v>
      </c>
      <c r="X42" s="98" t="s">
        <v>73</v>
      </c>
      <c r="Y42" s="98">
        <f>IF(X42="Prevenir",[9]Listas!$C$36,IF(X42="Detectar",[9]Listas!$C$37,[9]Listas!$C$38))</f>
        <v>15</v>
      </c>
      <c r="Z42" s="98" t="s">
        <v>68</v>
      </c>
      <c r="AA42" s="98">
        <f>IF(Z42="Confiable",[9]Listas!$C$39,[9]Listas!$C$40)</f>
        <v>15</v>
      </c>
      <c r="AB42" s="98" t="s">
        <v>70</v>
      </c>
      <c r="AC42" s="98">
        <f>IF(AB42="Se investigan y resuelven oportunamente",[9]Listas!$C$41,[9]Listas!$C$42)</f>
        <v>15</v>
      </c>
      <c r="AD42" s="98" t="s">
        <v>72</v>
      </c>
      <c r="AE42" s="98">
        <f>IF(AD42="Completa",[9]Listas!$C$43,IF(AD42="Incompleta",[9]Listas!$C$44,[9]Listas!$C$45))</f>
        <v>10</v>
      </c>
      <c r="AF42" s="105">
        <f t="shared" ref="AF42:AF46" si="37">S42+U42+W42+Y42+AA42+AC42+AE42</f>
        <v>100</v>
      </c>
      <c r="AG42" s="120">
        <f>AVERAGE(AF42:AF46)</f>
        <v>20</v>
      </c>
      <c r="AH42" s="194">
        <v>1</v>
      </c>
      <c r="AI42" s="120">
        <v>3</v>
      </c>
      <c r="AJ42" s="121">
        <f t="shared" ref="AJ42" si="38">AH42*AI42</f>
        <v>3</v>
      </c>
      <c r="AK42" s="100" t="str">
        <f t="shared" ref="AK42" si="39">IF(AND(AH42=1,AI42=1),"BAJO",IF(AND(AH42=1,AI42=2),"BAJO",IF(AND(AH42=2,AI42=1),"BAJO",IF(AND(AH42=2,AI42=2),"BAJO",IF(AND(AH42=3,AI42=1),"BAJO",IF(AND(AH42=1,AI42=3),"MODERADO",IF(AND(AH42=2,AI42=3),"MODERADO",IF(AND(AH42=3,AI42=2),"MODERADO",IF(AND(AH42=4,AI42=1),"MODERADO",IF(AND(AH42=5,AI42=1),"ALTO",IF(AND(AH42=4,AI42=2),"ALTO",IF(AND(AH42=3,AI42=3),"ALTO",IF(AND(AH42=2,AI42=4),"ALTO",IF(AND(AH42=1,AI42=4),"ALTO",IF(AND(AH42=5,AI42=2),"ALTO",IF(AND(AH42=4,AI42=3),"ALTO","EXTREMO"))))))))))))))))</f>
        <v>MODERADO</v>
      </c>
      <c r="AL42" s="187" t="s">
        <v>95</v>
      </c>
      <c r="AM42" s="199" t="s">
        <v>260</v>
      </c>
      <c r="AN42" s="101" t="s">
        <v>261</v>
      </c>
      <c r="AO42" s="199" t="s">
        <v>262</v>
      </c>
      <c r="AP42" s="200" t="s">
        <v>263</v>
      </c>
    </row>
    <row r="43" spans="1:42" ht="14.25" customHeight="1" x14ac:dyDescent="0.3">
      <c r="A43" s="120"/>
      <c r="B43" s="126"/>
      <c r="C43" s="192"/>
      <c r="D43" s="192"/>
      <c r="E43" s="192"/>
      <c r="F43" s="192"/>
      <c r="G43" s="192"/>
      <c r="H43" s="192"/>
      <c r="I43" s="193"/>
      <c r="J43" s="194"/>
      <c r="K43" s="120"/>
      <c r="L43" s="121"/>
      <c r="M43" s="100"/>
      <c r="N43" s="134"/>
      <c r="O43" s="119"/>
      <c r="P43" s="110"/>
      <c r="Q43" s="110"/>
      <c r="R43" s="134"/>
      <c r="S43" s="134">
        <f>IF(R43="Asignado",[9]Listas!$C$30,[9]Listas!$C$31)</f>
        <v>0</v>
      </c>
      <c r="T43" s="134"/>
      <c r="U43" s="134">
        <f>IF(T43="Adecuado",[9]Listas!$C$32,[9]Listas!$C$33)</f>
        <v>0</v>
      </c>
      <c r="V43" s="134"/>
      <c r="W43" s="134">
        <f>IF(V43="Oportuna",[9]Listas!$C$34,[9]Listas!$C$35)</f>
        <v>0</v>
      </c>
      <c r="X43" s="134"/>
      <c r="Y43" s="134">
        <f>IF(X43="Prevenir",[9]Listas!$C$36,IF(X43="Detectar",[9]Listas!$C$37,[9]Listas!$C$38))</f>
        <v>0</v>
      </c>
      <c r="Z43" s="134"/>
      <c r="AA43" s="134">
        <f>IF(Z43="Confiable",[9]Listas!$C$39,[9]Listas!$C$40)</f>
        <v>0</v>
      </c>
      <c r="AB43" s="134"/>
      <c r="AC43" s="134">
        <f>IF(AB43="Se investigan y resuelven oportunamente",[9]Listas!$C$41,[9]Listas!$C$42)</f>
        <v>0</v>
      </c>
      <c r="AD43" s="134"/>
      <c r="AE43" s="134">
        <f>IF(AD43="Completa",[9]Listas!$C$43,IF(AD43="Incompleta",[9]Listas!$C$44,[9]Listas!$C$45))</f>
        <v>0</v>
      </c>
      <c r="AF43" s="119">
        <f t="shared" si="37"/>
        <v>0</v>
      </c>
      <c r="AG43" s="120"/>
      <c r="AH43" s="194"/>
      <c r="AI43" s="120"/>
      <c r="AJ43" s="121"/>
      <c r="AK43" s="100"/>
      <c r="AL43" s="187"/>
      <c r="AM43" s="195"/>
      <c r="AN43" s="110"/>
      <c r="AO43" s="195"/>
      <c r="AP43" s="197"/>
    </row>
    <row r="44" spans="1:42" ht="14.25" customHeight="1" x14ac:dyDescent="0.3">
      <c r="A44" s="120"/>
      <c r="B44" s="126"/>
      <c r="C44" s="192"/>
      <c r="D44" s="192"/>
      <c r="E44" s="192"/>
      <c r="F44" s="192"/>
      <c r="G44" s="192"/>
      <c r="H44" s="192"/>
      <c r="I44" s="193"/>
      <c r="J44" s="194"/>
      <c r="K44" s="120"/>
      <c r="L44" s="121"/>
      <c r="M44" s="100"/>
      <c r="N44" s="134"/>
      <c r="O44" s="119"/>
      <c r="P44" s="110"/>
      <c r="Q44" s="110"/>
      <c r="R44" s="134"/>
      <c r="S44" s="134">
        <f>IF(R44="Asignado",[9]Listas!$C$30,[9]Listas!$C$31)</f>
        <v>0</v>
      </c>
      <c r="T44" s="134"/>
      <c r="U44" s="134">
        <f>IF(T44="Adecuado",[9]Listas!$C$32,[9]Listas!$C$33)</f>
        <v>0</v>
      </c>
      <c r="V44" s="134"/>
      <c r="W44" s="134">
        <f>IF(V44="Oportuna",[9]Listas!$C$34,[9]Listas!$C$35)</f>
        <v>0</v>
      </c>
      <c r="X44" s="134"/>
      <c r="Y44" s="134">
        <f>IF(X44="Prevenir",[9]Listas!$C$36,IF(X44="Detectar",[9]Listas!$C$37,[9]Listas!$C$38))</f>
        <v>0</v>
      </c>
      <c r="Z44" s="134"/>
      <c r="AA44" s="134">
        <f>IF(Z44="Confiable",[9]Listas!$C$39,[9]Listas!$C$40)</f>
        <v>0</v>
      </c>
      <c r="AB44" s="134"/>
      <c r="AC44" s="134">
        <f>IF(AB44="Se investigan y resuelven oportunamente",[9]Listas!$C$41,[9]Listas!$C$42)</f>
        <v>0</v>
      </c>
      <c r="AD44" s="134"/>
      <c r="AE44" s="134">
        <f>IF(AD44="Completa",[9]Listas!$C$43,IF(AD44="Incompleta",[9]Listas!$C$44,[9]Listas!$C$45))</f>
        <v>0</v>
      </c>
      <c r="AF44" s="119">
        <f t="shared" si="37"/>
        <v>0</v>
      </c>
      <c r="AG44" s="120"/>
      <c r="AH44" s="194"/>
      <c r="AI44" s="120"/>
      <c r="AJ44" s="121"/>
      <c r="AK44" s="100"/>
      <c r="AL44" s="187"/>
      <c r="AM44" s="195"/>
      <c r="AN44" s="110"/>
      <c r="AO44" s="195"/>
      <c r="AP44" s="197"/>
    </row>
    <row r="45" spans="1:42" ht="14.25" customHeight="1" x14ac:dyDescent="0.3">
      <c r="A45" s="120"/>
      <c r="B45" s="126"/>
      <c r="C45" s="192"/>
      <c r="D45" s="192"/>
      <c r="E45" s="192"/>
      <c r="F45" s="192"/>
      <c r="G45" s="192"/>
      <c r="H45" s="192"/>
      <c r="I45" s="193"/>
      <c r="J45" s="194"/>
      <c r="K45" s="120"/>
      <c r="L45" s="121"/>
      <c r="M45" s="100"/>
      <c r="N45" s="134"/>
      <c r="O45" s="119"/>
      <c r="P45" s="110"/>
      <c r="Q45" s="110"/>
      <c r="R45" s="134"/>
      <c r="S45" s="134">
        <f>IF(R45="Asignado",[9]Listas!$C$30,[9]Listas!$C$31)</f>
        <v>0</v>
      </c>
      <c r="T45" s="134"/>
      <c r="U45" s="134">
        <f>IF(T45="Adecuado",[9]Listas!$C$32,[9]Listas!$C$33)</f>
        <v>0</v>
      </c>
      <c r="V45" s="134"/>
      <c r="W45" s="134">
        <f>IF(V45="Oportuna",[9]Listas!$C$34,[9]Listas!$C$35)</f>
        <v>0</v>
      </c>
      <c r="X45" s="134"/>
      <c r="Y45" s="134">
        <f>IF(X45="Prevenir",[9]Listas!$C$36,IF(X45="Detectar",[9]Listas!$C$37,[9]Listas!$C$38))</f>
        <v>0</v>
      </c>
      <c r="Z45" s="134"/>
      <c r="AA45" s="134">
        <f>IF(Z45="Confiable",[9]Listas!$C$39,[9]Listas!$C$40)</f>
        <v>0</v>
      </c>
      <c r="AB45" s="134"/>
      <c r="AC45" s="134">
        <f>IF(AB45="Se investigan y resuelven oportunamente",[9]Listas!$C$41,[9]Listas!$C$42)</f>
        <v>0</v>
      </c>
      <c r="AD45" s="134"/>
      <c r="AE45" s="134">
        <f>IF(AD45="Completa",[9]Listas!$C$43,IF(AD45="Incompleta",[9]Listas!$C$44,[9]Listas!$C$45))</f>
        <v>0</v>
      </c>
      <c r="AF45" s="119">
        <f t="shared" si="37"/>
        <v>0</v>
      </c>
      <c r="AG45" s="120"/>
      <c r="AH45" s="194"/>
      <c r="AI45" s="120"/>
      <c r="AJ45" s="121"/>
      <c r="AK45" s="100"/>
      <c r="AL45" s="187"/>
      <c r="AM45" s="195"/>
      <c r="AN45" s="110"/>
      <c r="AO45" s="195"/>
      <c r="AP45" s="197"/>
    </row>
    <row r="46" spans="1:42" x14ac:dyDescent="0.3">
      <c r="A46" s="120"/>
      <c r="B46" s="126"/>
      <c r="C46" s="192"/>
      <c r="D46" s="192"/>
      <c r="E46" s="192"/>
      <c r="F46" s="192"/>
      <c r="G46" s="192"/>
      <c r="H46" s="192"/>
      <c r="I46" s="193"/>
      <c r="J46" s="194"/>
      <c r="K46" s="120"/>
      <c r="L46" s="121"/>
      <c r="M46" s="100"/>
      <c r="N46" s="99"/>
      <c r="O46" s="106"/>
      <c r="P46" s="102"/>
      <c r="Q46" s="102"/>
      <c r="R46" s="99"/>
      <c r="S46" s="99">
        <f>IF(R46="Asignado",[9]Listas!$C$30,[9]Listas!$C$31)</f>
        <v>0</v>
      </c>
      <c r="T46" s="99"/>
      <c r="U46" s="99">
        <f>IF(T46="Adecuado",[9]Listas!$C$32,[9]Listas!$C$33)</f>
        <v>0</v>
      </c>
      <c r="V46" s="99"/>
      <c r="W46" s="99">
        <f>IF(V46="Oportuna",[9]Listas!$C$34,[9]Listas!$C$35)</f>
        <v>0</v>
      </c>
      <c r="X46" s="99"/>
      <c r="Y46" s="99">
        <f>IF(X46="Prevenir",[9]Listas!$C$36,IF(X46="Detectar",[9]Listas!$C$37,[9]Listas!$C$38))</f>
        <v>0</v>
      </c>
      <c r="Z46" s="99"/>
      <c r="AA46" s="99">
        <f>IF(Z46="Confiable",[9]Listas!$C$39,[9]Listas!$C$40)</f>
        <v>0</v>
      </c>
      <c r="AB46" s="99"/>
      <c r="AC46" s="99">
        <f>IF(AB46="Se investigan y resuelven oportunamente",[9]Listas!$C$41,[9]Listas!$C$42)</f>
        <v>0</v>
      </c>
      <c r="AD46" s="99"/>
      <c r="AE46" s="99">
        <f>IF(AD46="Completa",[9]Listas!$C$43,IF(AD46="Incompleta",[9]Listas!$C$44,[9]Listas!$C$45))</f>
        <v>0</v>
      </c>
      <c r="AF46" s="106">
        <f t="shared" si="37"/>
        <v>0</v>
      </c>
      <c r="AG46" s="120"/>
      <c r="AH46" s="194"/>
      <c r="AI46" s="120"/>
      <c r="AJ46" s="121"/>
      <c r="AK46" s="100"/>
      <c r="AL46" s="187"/>
      <c r="AM46" s="196"/>
      <c r="AN46" s="102"/>
      <c r="AO46" s="196"/>
      <c r="AP46" s="198"/>
    </row>
    <row r="102" spans="9:9" ht="33.75" customHeight="1" x14ac:dyDescent="0.3"/>
    <row r="103" spans="9:9" x14ac:dyDescent="0.3">
      <c r="I103" s="9"/>
    </row>
    <row r="104" spans="9:9" ht="33.75" customHeight="1" x14ac:dyDescent="0.3">
      <c r="I104" s="9"/>
    </row>
    <row r="105" spans="9:9" x14ac:dyDescent="0.3">
      <c r="I105" s="9"/>
    </row>
    <row r="106" spans="9:9" ht="33.75" customHeight="1" x14ac:dyDescent="0.3">
      <c r="I106" s="9"/>
    </row>
    <row r="107" spans="9:9" x14ac:dyDescent="0.3">
      <c r="I107" s="9"/>
    </row>
  </sheetData>
  <dataConsolidate/>
  <mergeCells count="381">
    <mergeCell ref="A39:A46"/>
    <mergeCell ref="B39:B46"/>
    <mergeCell ref="AI42:AI46"/>
    <mergeCell ref="AJ42:AJ46"/>
    <mergeCell ref="AK42:AK46"/>
    <mergeCell ref="AL42:AL46"/>
    <mergeCell ref="AM42:AM46"/>
    <mergeCell ref="AN42:AN46"/>
    <mergeCell ref="AO42:AO46"/>
    <mergeCell ref="AP42:AP46"/>
    <mergeCell ref="C42:C46"/>
    <mergeCell ref="D42:D46"/>
    <mergeCell ref="E42:E46"/>
    <mergeCell ref="F42:F46"/>
    <mergeCell ref="G42:G46"/>
    <mergeCell ref="H42:H46"/>
    <mergeCell ref="I42:I46"/>
    <mergeCell ref="J42:J46"/>
    <mergeCell ref="K42:K46"/>
    <mergeCell ref="L42:L46"/>
    <mergeCell ref="M42:M46"/>
    <mergeCell ref="N42:N46"/>
    <mergeCell ref="O42:O46"/>
    <mergeCell ref="P42:P46"/>
    <mergeCell ref="Q42:Q46"/>
    <mergeCell ref="R42:R46"/>
    <mergeCell ref="AI39:AI41"/>
    <mergeCell ref="AJ39:AJ41"/>
    <mergeCell ref="AK39:AK41"/>
    <mergeCell ref="AL39:AL41"/>
    <mergeCell ref="AM39:AM41"/>
    <mergeCell ref="AN39:AN41"/>
    <mergeCell ref="AO39:AO41"/>
    <mergeCell ref="AP39:AP41"/>
    <mergeCell ref="S42:S46"/>
    <mergeCell ref="T42:T46"/>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AH42:AH46"/>
    <mergeCell ref="Z39:Z41"/>
    <mergeCell ref="AA39:AA41"/>
    <mergeCell ref="AB39:AB41"/>
    <mergeCell ref="AC39:AC41"/>
    <mergeCell ref="AD39:AD41"/>
    <mergeCell ref="AE39:AE41"/>
    <mergeCell ref="AF39:AF41"/>
    <mergeCell ref="AG39:AG41"/>
    <mergeCell ref="AH39:AH41"/>
    <mergeCell ref="Q39:Q41"/>
    <mergeCell ref="R39:R41"/>
    <mergeCell ref="S39:S41"/>
    <mergeCell ref="T39:T41"/>
    <mergeCell ref="U39:U41"/>
    <mergeCell ref="V39:V41"/>
    <mergeCell ref="W39:W41"/>
    <mergeCell ref="X39:X41"/>
    <mergeCell ref="Y39:Y41"/>
    <mergeCell ref="AJ35:AJ38"/>
    <mergeCell ref="AK35:AK38"/>
    <mergeCell ref="AL35:AL38"/>
    <mergeCell ref="AF37:AF38"/>
    <mergeCell ref="E35:E38"/>
    <mergeCell ref="B35:B38"/>
    <mergeCell ref="A35:A38"/>
    <mergeCell ref="C39:C41"/>
    <mergeCell ref="D39:D41"/>
    <mergeCell ref="E39:E41"/>
    <mergeCell ref="F39:F41"/>
    <mergeCell ref="G39:G41"/>
    <mergeCell ref="H39:H41"/>
    <mergeCell ref="G35:G38"/>
    <mergeCell ref="I39:I41"/>
    <mergeCell ref="J39:J41"/>
    <mergeCell ref="K39:K41"/>
    <mergeCell ref="L39:L41"/>
    <mergeCell ref="M39:M41"/>
    <mergeCell ref="N39:N41"/>
    <mergeCell ref="O39:O41"/>
    <mergeCell ref="P39:P41"/>
    <mergeCell ref="AA37:AA38"/>
    <mergeCell ref="AB37:AB38"/>
    <mergeCell ref="AN22:AN25"/>
    <mergeCell ref="AI31:AI32"/>
    <mergeCell ref="AJ31:AJ32"/>
    <mergeCell ref="AK31:AK32"/>
    <mergeCell ref="AL31:AL32"/>
    <mergeCell ref="AM31:AM32"/>
    <mergeCell ref="AN31:AN32"/>
    <mergeCell ref="AB33:AB34"/>
    <mergeCell ref="AC33:AC34"/>
    <mergeCell ref="AD33:AD34"/>
    <mergeCell ref="AE33:AE34"/>
    <mergeCell ref="AF33:AF34"/>
    <mergeCell ref="AG33:AG34"/>
    <mergeCell ref="AH33:AH34"/>
    <mergeCell ref="AI33:AI34"/>
    <mergeCell ref="AJ33:AJ34"/>
    <mergeCell ref="AC37:AC38"/>
    <mergeCell ref="AD37:AD38"/>
    <mergeCell ref="AE37:AE38"/>
    <mergeCell ref="AG35:AG38"/>
    <mergeCell ref="AH35:AH38"/>
    <mergeCell ref="AI35:AI38"/>
    <mergeCell ref="B22:B25"/>
    <mergeCell ref="A22:A25"/>
    <mergeCell ref="B26:B27"/>
    <mergeCell ref="A26:A27"/>
    <mergeCell ref="B29:B30"/>
    <mergeCell ref="A29:A30"/>
    <mergeCell ref="B31:B34"/>
    <mergeCell ref="A31:A34"/>
    <mergeCell ref="AM20:AM21"/>
    <mergeCell ref="U22:U25"/>
    <mergeCell ref="AA20:AA21"/>
    <mergeCell ref="AB20:AB21"/>
    <mergeCell ref="AC20:AC21"/>
    <mergeCell ref="AD20:AD21"/>
    <mergeCell ref="AE20:AE21"/>
    <mergeCell ref="AF20:AF21"/>
    <mergeCell ref="AG20:AG21"/>
    <mergeCell ref="AH20:AH21"/>
    <mergeCell ref="AI20:AI21"/>
    <mergeCell ref="AJ20:AJ21"/>
    <mergeCell ref="AK20:AK21"/>
    <mergeCell ref="AL20:AL21"/>
    <mergeCell ref="D31:D32"/>
    <mergeCell ref="E31:E32"/>
    <mergeCell ref="Y20:Y21"/>
    <mergeCell ref="Z20:Z21"/>
    <mergeCell ref="AO20:AO21"/>
    <mergeCell ref="AP20:AP21"/>
    <mergeCell ref="B20:B21"/>
    <mergeCell ref="A20:A21"/>
    <mergeCell ref="V22:V25"/>
    <mergeCell ref="W22:W25"/>
    <mergeCell ref="X22:X25"/>
    <mergeCell ref="Y22:Y25"/>
    <mergeCell ref="Z22:Z25"/>
    <mergeCell ref="AA22:AA25"/>
    <mergeCell ref="AB22:AB25"/>
    <mergeCell ref="AC22:AC25"/>
    <mergeCell ref="AD22:AD25"/>
    <mergeCell ref="AE22:AE25"/>
    <mergeCell ref="AF22:AF25"/>
    <mergeCell ref="AG22:AG25"/>
    <mergeCell ref="AH22:AH25"/>
    <mergeCell ref="AI22:AI25"/>
    <mergeCell ref="AJ22:AJ25"/>
    <mergeCell ref="AK22:AK25"/>
    <mergeCell ref="AL22:AL25"/>
    <mergeCell ref="AM22:AM25"/>
    <mergeCell ref="AD12:AD14"/>
    <mergeCell ref="AE12:AE14"/>
    <mergeCell ref="AF12:AF14"/>
    <mergeCell ref="AG12:AG14"/>
    <mergeCell ref="AH12:AH14"/>
    <mergeCell ref="N9:N10"/>
    <mergeCell ref="O9:O10"/>
    <mergeCell ref="G20:G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M12:M14"/>
    <mergeCell ref="O12:O14"/>
    <mergeCell ref="P12:P14"/>
    <mergeCell ref="Q12:Q14"/>
    <mergeCell ref="R12:R14"/>
    <mergeCell ref="S12:S14"/>
    <mergeCell ref="T12:T14"/>
    <mergeCell ref="U12:U14"/>
    <mergeCell ref="V12:V14"/>
    <mergeCell ref="AL9:AL10"/>
    <mergeCell ref="A1:A3"/>
    <mergeCell ref="C1:K1"/>
    <mergeCell ref="E8:I8"/>
    <mergeCell ref="C8:D8"/>
    <mergeCell ref="J8:M8"/>
    <mergeCell ref="C2:K3"/>
    <mergeCell ref="N8:AK8"/>
    <mergeCell ref="AL8:AP8"/>
    <mergeCell ref="AM9:AP9"/>
    <mergeCell ref="X5:AB5"/>
    <mergeCell ref="AJ9:AK10"/>
    <mergeCell ref="AI9:AI10"/>
    <mergeCell ref="Q9:Q10"/>
    <mergeCell ref="R9:AE9"/>
    <mergeCell ref="R10:S10"/>
    <mergeCell ref="J9:J10"/>
    <mergeCell ref="A9:A10"/>
    <mergeCell ref="E9:E10"/>
    <mergeCell ref="C9:D9"/>
    <mergeCell ref="F9:F10"/>
    <mergeCell ref="G9:G10"/>
    <mergeCell ref="H9:H10"/>
    <mergeCell ref="AH9:AH10"/>
    <mergeCell ref="P9:P10"/>
    <mergeCell ref="I9:I10"/>
    <mergeCell ref="AF9:AF10"/>
    <mergeCell ref="K9:K10"/>
    <mergeCell ref="L9:M10"/>
    <mergeCell ref="AG9:AG10"/>
    <mergeCell ref="T10:U10"/>
    <mergeCell ref="V10:W10"/>
    <mergeCell ref="X10:Y10"/>
    <mergeCell ref="Z10:AA10"/>
    <mergeCell ref="AB10:AC10"/>
    <mergeCell ref="AD10:AE10"/>
    <mergeCell ref="AL12:AL14"/>
    <mergeCell ref="AM12:AM14"/>
    <mergeCell ref="AN12:AN14"/>
    <mergeCell ref="AO12:AO14"/>
    <mergeCell ref="AP12:AP14"/>
    <mergeCell ref="D12:D14"/>
    <mergeCell ref="E12:E14"/>
    <mergeCell ref="G12:G14"/>
    <mergeCell ref="H12:H14"/>
    <mergeCell ref="I12:I14"/>
    <mergeCell ref="J12:J14"/>
    <mergeCell ref="N12:N14"/>
    <mergeCell ref="W12:W14"/>
    <mergeCell ref="X12:X14"/>
    <mergeCell ref="Y12:Y14"/>
    <mergeCell ref="Z12:Z14"/>
    <mergeCell ref="AA12:AA14"/>
    <mergeCell ref="AB12:AB14"/>
    <mergeCell ref="AC12:AC14"/>
    <mergeCell ref="K12:K14"/>
    <mergeCell ref="L12:L14"/>
    <mergeCell ref="AI12:AI14"/>
    <mergeCell ref="AJ12:AJ14"/>
    <mergeCell ref="AK12:AK14"/>
    <mergeCell ref="D16:D19"/>
    <mergeCell ref="E16:E19"/>
    <mergeCell ref="G16:G19"/>
    <mergeCell ref="H16:H19"/>
    <mergeCell ref="I16:I19"/>
    <mergeCell ref="J16:J19"/>
    <mergeCell ref="K16:K19"/>
    <mergeCell ref="L16:L19"/>
    <mergeCell ref="M16:M19"/>
    <mergeCell ref="N16:N19"/>
    <mergeCell ref="O16:O19"/>
    <mergeCell ref="P16:P19"/>
    <mergeCell ref="Q16:Q19"/>
    <mergeCell ref="R16:R19"/>
    <mergeCell ref="S16:S19"/>
    <mergeCell ref="T16:T19"/>
    <mergeCell ref="U16:U19"/>
    <mergeCell ref="V16:V19"/>
    <mergeCell ref="AM16:AM19"/>
    <mergeCell ref="AN16:AN19"/>
    <mergeCell ref="W16:W19"/>
    <mergeCell ref="X16:X19"/>
    <mergeCell ref="Y16:Y19"/>
    <mergeCell ref="Z16:Z19"/>
    <mergeCell ref="AA16:AA19"/>
    <mergeCell ref="AB16:AB19"/>
    <mergeCell ref="AC16:AC19"/>
    <mergeCell ref="AD16:AD19"/>
    <mergeCell ref="AE16:AE19"/>
    <mergeCell ref="AF16:AF19"/>
    <mergeCell ref="AG16:AG19"/>
    <mergeCell ref="AH16:AH19"/>
    <mergeCell ref="AI16:AI19"/>
    <mergeCell ref="AJ16:AJ19"/>
    <mergeCell ref="AK16:AK19"/>
    <mergeCell ref="AL16:AL19"/>
    <mergeCell ref="AN20:AN21"/>
    <mergeCell ref="AH31:AH32"/>
    <mergeCell ref="AO22:AO25"/>
    <mergeCell ref="AP22:AP25"/>
    <mergeCell ref="AO16:AO19"/>
    <mergeCell ref="AP16:AP19"/>
    <mergeCell ref="B12:B19"/>
    <mergeCell ref="A12:A19"/>
    <mergeCell ref="C20:C21"/>
    <mergeCell ref="D20:D21"/>
    <mergeCell ref="E20:E21"/>
    <mergeCell ref="D22:D25"/>
    <mergeCell ref="E22:E25"/>
    <mergeCell ref="G22:G25"/>
    <mergeCell ref="H22:H25"/>
    <mergeCell ref="I22:I25"/>
    <mergeCell ref="J22:J25"/>
    <mergeCell ref="K22:K25"/>
    <mergeCell ref="L22:L25"/>
    <mergeCell ref="M22:M25"/>
    <mergeCell ref="N22:N25"/>
    <mergeCell ref="O22:O25"/>
    <mergeCell ref="P22:P25"/>
    <mergeCell ref="Q22:Q25"/>
    <mergeCell ref="R22:R25"/>
    <mergeCell ref="X33:X34"/>
    <mergeCell ref="Y33:Y34"/>
    <mergeCell ref="Z33:Z34"/>
    <mergeCell ref="AA33:AA34"/>
    <mergeCell ref="G31:G32"/>
    <mergeCell ref="H31:H32"/>
    <mergeCell ref="I31:I32"/>
    <mergeCell ref="J31:J32"/>
    <mergeCell ref="K31:K32"/>
    <mergeCell ref="L31:L32"/>
    <mergeCell ref="M31:M32"/>
    <mergeCell ref="O33:O34"/>
    <mergeCell ref="P33:P34"/>
    <mergeCell ref="Q33:Q34"/>
    <mergeCell ref="R33:R34"/>
    <mergeCell ref="S33:S34"/>
    <mergeCell ref="T33:T34"/>
    <mergeCell ref="U33:U34"/>
    <mergeCell ref="V33:V34"/>
    <mergeCell ref="W33:W34"/>
    <mergeCell ref="S22:S25"/>
    <mergeCell ref="T22:T25"/>
    <mergeCell ref="X37:X38"/>
    <mergeCell ref="I35:I38"/>
    <mergeCell ref="J35:J38"/>
    <mergeCell ref="K35:K38"/>
    <mergeCell ref="L35:L38"/>
    <mergeCell ref="M35:M38"/>
    <mergeCell ref="Z37:Z38"/>
    <mergeCell ref="E33:E34"/>
    <mergeCell ref="G33:G34"/>
    <mergeCell ref="H33:H34"/>
    <mergeCell ref="I33:I34"/>
    <mergeCell ref="J33:J34"/>
    <mergeCell ref="K33:K34"/>
    <mergeCell ref="L33:L34"/>
    <mergeCell ref="M33:M34"/>
    <mergeCell ref="N33:N34"/>
    <mergeCell ref="AM33:AM34"/>
    <mergeCell ref="AN33:AN34"/>
    <mergeCell ref="AO33:AO34"/>
    <mergeCell ref="AP33:AP34"/>
    <mergeCell ref="AO31:AO32"/>
    <mergeCell ref="AP31:AP32"/>
    <mergeCell ref="AG31:AG32"/>
    <mergeCell ref="F35:F38"/>
    <mergeCell ref="C36:C38"/>
    <mergeCell ref="D36:D38"/>
    <mergeCell ref="AM36:AM38"/>
    <mergeCell ref="AN36:AN38"/>
    <mergeCell ref="AO36:AO38"/>
    <mergeCell ref="AP36:AP38"/>
    <mergeCell ref="N37:N38"/>
    <mergeCell ref="O37:O38"/>
    <mergeCell ref="P37:P38"/>
    <mergeCell ref="Q37:Q38"/>
    <mergeCell ref="R37:R38"/>
    <mergeCell ref="S37:S38"/>
    <mergeCell ref="T37:T38"/>
    <mergeCell ref="U37:U38"/>
    <mergeCell ref="V37:V38"/>
    <mergeCell ref="W37:W38"/>
    <mergeCell ref="Y37:Y38"/>
    <mergeCell ref="AK33:AK34"/>
    <mergeCell ref="AL33:AL34"/>
  </mergeCells>
  <conditionalFormatting sqref="M11">
    <cfRule type="expression" dxfId="149" priority="157">
      <formula>M11="EXTREMO"</formula>
    </cfRule>
    <cfRule type="expression" dxfId="148" priority="158">
      <formula>M11="MODERADO"</formula>
    </cfRule>
    <cfRule type="expression" dxfId="147" priority="159">
      <formula>M11="ALTO"</formula>
    </cfRule>
    <cfRule type="expression" dxfId="146" priority="160">
      <formula>M11="BAJO"</formula>
    </cfRule>
  </conditionalFormatting>
  <conditionalFormatting sqref="M11">
    <cfRule type="expression" dxfId="145" priority="156">
      <formula>M11=" "</formula>
    </cfRule>
  </conditionalFormatting>
  <conditionalFormatting sqref="AK11">
    <cfRule type="expression" dxfId="144" priority="152">
      <formula>AK11="EXTREMO"</formula>
    </cfRule>
    <cfRule type="expression" dxfId="143" priority="153">
      <formula>AK11="MODERADO"</formula>
    </cfRule>
    <cfRule type="expression" dxfId="142" priority="154">
      <formula>AK11="ALTO"</formula>
    </cfRule>
    <cfRule type="expression" dxfId="141" priority="155">
      <formula>AK11="BAJO"</formula>
    </cfRule>
  </conditionalFormatting>
  <conditionalFormatting sqref="AK11">
    <cfRule type="expression" dxfId="140" priority="151">
      <formula>AK11=" "</formula>
    </cfRule>
  </conditionalFormatting>
  <conditionalFormatting sqref="M12">
    <cfRule type="expression" dxfId="139" priority="147">
      <formula>M12="EXTREMO"</formula>
    </cfRule>
    <cfRule type="expression" dxfId="138" priority="148">
      <formula>M12="MODERADO"</formula>
    </cfRule>
    <cfRule type="expression" dxfId="137" priority="149">
      <formula>M12="ALTO"</formula>
    </cfRule>
    <cfRule type="expression" dxfId="136" priority="150">
      <formula>M12="BAJO"</formula>
    </cfRule>
  </conditionalFormatting>
  <conditionalFormatting sqref="M12">
    <cfRule type="expression" dxfId="135" priority="146">
      <formula>M12=" "</formula>
    </cfRule>
  </conditionalFormatting>
  <conditionalFormatting sqref="AK12">
    <cfRule type="expression" dxfId="134" priority="142">
      <formula>AK12="EXTREMO"</formula>
    </cfRule>
    <cfRule type="expression" dxfId="133" priority="143">
      <formula>AK12="MODERADO"</formula>
    </cfRule>
    <cfRule type="expression" dxfId="132" priority="144">
      <formula>AK12="ALTO"</formula>
    </cfRule>
    <cfRule type="expression" dxfId="131" priority="145">
      <formula>AK12="BAJO"</formula>
    </cfRule>
  </conditionalFormatting>
  <conditionalFormatting sqref="AK12">
    <cfRule type="expression" dxfId="130" priority="141">
      <formula>AK12=" "</formula>
    </cfRule>
  </conditionalFormatting>
  <conditionalFormatting sqref="M15">
    <cfRule type="expression" dxfId="129" priority="137">
      <formula>M15="EXTREMO"</formula>
    </cfRule>
    <cfRule type="expression" dxfId="128" priority="138">
      <formula>M15="MODERADO"</formula>
    </cfRule>
    <cfRule type="expression" dxfId="127" priority="139">
      <formula>M15="ALTO"</formula>
    </cfRule>
    <cfRule type="expression" dxfId="126" priority="140">
      <formula>M15="BAJO"</formula>
    </cfRule>
  </conditionalFormatting>
  <conditionalFormatting sqref="M15">
    <cfRule type="expression" dxfId="125" priority="136">
      <formula>M15=" "</formula>
    </cfRule>
  </conditionalFormatting>
  <conditionalFormatting sqref="AK15">
    <cfRule type="expression" dxfId="124" priority="132">
      <formula>AK15="EXTREMO"</formula>
    </cfRule>
    <cfRule type="expression" dxfId="123" priority="133">
      <formula>AK15="MODERADO"</formula>
    </cfRule>
    <cfRule type="expression" dxfId="122" priority="134">
      <formula>AK15="ALTO"</formula>
    </cfRule>
    <cfRule type="expression" dxfId="121" priority="135">
      <formula>AK15="BAJO"</formula>
    </cfRule>
  </conditionalFormatting>
  <conditionalFormatting sqref="AK15">
    <cfRule type="expression" dxfId="120" priority="131">
      <formula>AK15=" "</formula>
    </cfRule>
  </conditionalFormatting>
  <conditionalFormatting sqref="M16">
    <cfRule type="expression" dxfId="119" priority="127">
      <formula>M16="EXTREMO"</formula>
    </cfRule>
    <cfRule type="expression" dxfId="118" priority="128">
      <formula>M16="MODERADO"</formula>
    </cfRule>
    <cfRule type="expression" dxfId="117" priority="129">
      <formula>M16="ALTO"</formula>
    </cfRule>
    <cfRule type="expression" dxfId="116" priority="130">
      <formula>M16="BAJO"</formula>
    </cfRule>
  </conditionalFormatting>
  <conditionalFormatting sqref="M16">
    <cfRule type="expression" dxfId="115" priority="126">
      <formula>M16=" "</formula>
    </cfRule>
  </conditionalFormatting>
  <conditionalFormatting sqref="AK16">
    <cfRule type="expression" dxfId="114" priority="122">
      <formula>AK16="EXTREMO"</formula>
    </cfRule>
    <cfRule type="expression" dxfId="113" priority="123">
      <formula>AK16="MODERADO"</formula>
    </cfRule>
    <cfRule type="expression" dxfId="112" priority="124">
      <formula>AK16="ALTO"</formula>
    </cfRule>
    <cfRule type="expression" dxfId="111" priority="125">
      <formula>AK16="BAJO"</formula>
    </cfRule>
  </conditionalFormatting>
  <conditionalFormatting sqref="AK16">
    <cfRule type="expression" dxfId="110" priority="121">
      <formula>AK16=" "</formula>
    </cfRule>
  </conditionalFormatting>
  <conditionalFormatting sqref="M20">
    <cfRule type="expression" dxfId="109" priority="117">
      <formula>M20="EXTREMO"</formula>
    </cfRule>
    <cfRule type="expression" dxfId="108" priority="118">
      <formula>M20="MODERADO"</formula>
    </cfRule>
    <cfRule type="expression" dxfId="107" priority="119">
      <formula>M20="ALTO"</formula>
    </cfRule>
    <cfRule type="expression" dxfId="106" priority="120">
      <formula>M20="BAJO"</formula>
    </cfRule>
  </conditionalFormatting>
  <conditionalFormatting sqref="M20">
    <cfRule type="expression" dxfId="105" priority="116">
      <formula>M20=" "</formula>
    </cfRule>
  </conditionalFormatting>
  <conditionalFormatting sqref="AK20">
    <cfRule type="expression" dxfId="104" priority="112">
      <formula>AK20="EXTREMO"</formula>
    </cfRule>
    <cfRule type="expression" dxfId="103" priority="113">
      <formula>AK20="MODERADO"</formula>
    </cfRule>
    <cfRule type="expression" dxfId="102" priority="114">
      <formula>AK20="ALTO"</formula>
    </cfRule>
    <cfRule type="expression" dxfId="101" priority="115">
      <formula>AK20="BAJO"</formula>
    </cfRule>
  </conditionalFormatting>
  <conditionalFormatting sqref="AK20">
    <cfRule type="expression" dxfId="100" priority="111">
      <formula>AK20=" "</formula>
    </cfRule>
  </conditionalFormatting>
  <conditionalFormatting sqref="M22">
    <cfRule type="expression" dxfId="99" priority="107">
      <formula>M22="EXTREMO"</formula>
    </cfRule>
    <cfRule type="expression" dxfId="98" priority="108">
      <formula>M22="MODERADO"</formula>
    </cfRule>
    <cfRule type="expression" dxfId="97" priority="109">
      <formula>M22="ALTO"</formula>
    </cfRule>
    <cfRule type="expression" dxfId="96" priority="110">
      <formula>M22="BAJO"</formula>
    </cfRule>
  </conditionalFormatting>
  <conditionalFormatting sqref="M22">
    <cfRule type="expression" dxfId="95" priority="106">
      <formula>M22=" "</formula>
    </cfRule>
  </conditionalFormatting>
  <conditionalFormatting sqref="AK22">
    <cfRule type="expression" dxfId="94" priority="102">
      <formula>AK22="EXTREMO"</formula>
    </cfRule>
    <cfRule type="expression" dxfId="93" priority="103">
      <formula>AK22="MODERADO"</formula>
    </cfRule>
    <cfRule type="expression" dxfId="92" priority="104">
      <formula>AK22="ALTO"</formula>
    </cfRule>
    <cfRule type="expression" dxfId="91" priority="105">
      <formula>AK22="BAJO"</formula>
    </cfRule>
  </conditionalFormatting>
  <conditionalFormatting sqref="AK22">
    <cfRule type="expression" dxfId="90" priority="101">
      <formula>AK22=" "</formula>
    </cfRule>
  </conditionalFormatting>
  <conditionalFormatting sqref="M26">
    <cfRule type="expression" dxfId="89" priority="97">
      <formula>M26="EXTREMO"</formula>
    </cfRule>
    <cfRule type="expression" dxfId="88" priority="98">
      <formula>M26="MODERADO"</formula>
    </cfRule>
    <cfRule type="expression" dxfId="87" priority="99">
      <formula>M26="ALTO"</formula>
    </cfRule>
    <cfRule type="expression" dxfId="86" priority="100">
      <formula>M26="BAJO"</formula>
    </cfRule>
  </conditionalFormatting>
  <conditionalFormatting sqref="M26">
    <cfRule type="expression" dxfId="85" priority="96">
      <formula>M26=" "</formula>
    </cfRule>
  </conditionalFormatting>
  <conditionalFormatting sqref="AK26">
    <cfRule type="expression" dxfId="84" priority="92">
      <formula>AK26="EXTREMO"</formula>
    </cfRule>
    <cfRule type="expression" dxfId="83" priority="93">
      <formula>AK26="MODERADO"</formula>
    </cfRule>
    <cfRule type="expression" dxfId="82" priority="94">
      <formula>AK26="ALTO"</formula>
    </cfRule>
    <cfRule type="expression" dxfId="81" priority="95">
      <formula>AK26="BAJO"</formula>
    </cfRule>
  </conditionalFormatting>
  <conditionalFormatting sqref="AK26">
    <cfRule type="expression" dxfId="80" priority="91">
      <formula>AK26=" "</formula>
    </cfRule>
  </conditionalFormatting>
  <conditionalFormatting sqref="M27">
    <cfRule type="expression" dxfId="79" priority="87">
      <formula>M27="EXTREMO"</formula>
    </cfRule>
    <cfRule type="expression" dxfId="78" priority="88">
      <formula>M27="MODERADO"</formula>
    </cfRule>
    <cfRule type="expression" dxfId="77" priority="89">
      <formula>M27="ALTO"</formula>
    </cfRule>
    <cfRule type="expression" dxfId="76" priority="90">
      <formula>M27="BAJO"</formula>
    </cfRule>
  </conditionalFormatting>
  <conditionalFormatting sqref="M27">
    <cfRule type="expression" dxfId="75" priority="86">
      <formula>M27=" "</formula>
    </cfRule>
  </conditionalFormatting>
  <conditionalFormatting sqref="AK27">
    <cfRule type="expression" dxfId="74" priority="82">
      <formula>AK27="EXTREMO"</formula>
    </cfRule>
    <cfRule type="expression" dxfId="73" priority="83">
      <formula>AK27="MODERADO"</formula>
    </cfRule>
    <cfRule type="expression" dxfId="72" priority="84">
      <formula>AK27="ALTO"</formula>
    </cfRule>
    <cfRule type="expression" dxfId="71" priority="85">
      <formula>AK27="BAJO"</formula>
    </cfRule>
  </conditionalFormatting>
  <conditionalFormatting sqref="AK27">
    <cfRule type="expression" dxfId="70" priority="81">
      <formula>AK27=" "</formula>
    </cfRule>
  </conditionalFormatting>
  <conditionalFormatting sqref="M28">
    <cfRule type="expression" dxfId="69" priority="77">
      <formula>M28="EXTREMO"</formula>
    </cfRule>
    <cfRule type="expression" dxfId="68" priority="78">
      <formula>M28="MODERADO"</formula>
    </cfRule>
    <cfRule type="expression" dxfId="67" priority="79">
      <formula>M28="ALTO"</formula>
    </cfRule>
    <cfRule type="expression" dxfId="66" priority="80">
      <formula>M28="BAJO"</formula>
    </cfRule>
  </conditionalFormatting>
  <conditionalFormatting sqref="M28">
    <cfRule type="expression" dxfId="65" priority="76">
      <formula>M28=" "</formula>
    </cfRule>
  </conditionalFormatting>
  <conditionalFormatting sqref="AK28">
    <cfRule type="expression" dxfId="64" priority="72">
      <formula>AK28="EXTREMO"</formula>
    </cfRule>
    <cfRule type="expression" dxfId="63" priority="73">
      <formula>AK28="MODERADO"</formula>
    </cfRule>
    <cfRule type="expression" dxfId="62" priority="74">
      <formula>AK28="ALTO"</formula>
    </cfRule>
    <cfRule type="expression" dxfId="61" priority="75">
      <formula>AK28="BAJO"</formula>
    </cfRule>
  </conditionalFormatting>
  <conditionalFormatting sqref="AK28">
    <cfRule type="expression" dxfId="60" priority="71">
      <formula>AK28=" "</formula>
    </cfRule>
  </conditionalFormatting>
  <conditionalFormatting sqref="M29">
    <cfRule type="expression" dxfId="59" priority="67">
      <formula>M29="EXTREMO"</formula>
    </cfRule>
    <cfRule type="expression" dxfId="58" priority="68">
      <formula>M29="MODERADO"</formula>
    </cfRule>
    <cfRule type="expression" dxfId="57" priority="69">
      <formula>M29="ALTO"</formula>
    </cfRule>
    <cfRule type="expression" dxfId="56" priority="70">
      <formula>M29="BAJO"</formula>
    </cfRule>
  </conditionalFormatting>
  <conditionalFormatting sqref="M29">
    <cfRule type="expression" dxfId="55" priority="66">
      <formula>M29=" "</formula>
    </cfRule>
  </conditionalFormatting>
  <conditionalFormatting sqref="AK29">
    <cfRule type="expression" dxfId="54" priority="62">
      <formula>AK29="EXTREMO"</formula>
    </cfRule>
    <cfRule type="expression" dxfId="53" priority="63">
      <formula>AK29="MODERADO"</formula>
    </cfRule>
    <cfRule type="expression" dxfId="52" priority="64">
      <formula>AK29="ALTO"</formula>
    </cfRule>
    <cfRule type="expression" dxfId="51" priority="65">
      <formula>AK29="BAJO"</formula>
    </cfRule>
  </conditionalFormatting>
  <conditionalFormatting sqref="AK29">
    <cfRule type="expression" dxfId="50" priority="61">
      <formula>AK29=" "</formula>
    </cfRule>
  </conditionalFormatting>
  <conditionalFormatting sqref="M30">
    <cfRule type="expression" dxfId="49" priority="57">
      <formula>M30="EXTREMO"</formula>
    </cfRule>
    <cfRule type="expression" dxfId="48" priority="58">
      <formula>M30="MODERADO"</formula>
    </cfRule>
    <cfRule type="expression" dxfId="47" priority="59">
      <formula>M30="ALTO"</formula>
    </cfRule>
    <cfRule type="expression" dxfId="46" priority="60">
      <formula>M30="BAJO"</formula>
    </cfRule>
  </conditionalFormatting>
  <conditionalFormatting sqref="M30">
    <cfRule type="expression" dxfId="45" priority="56">
      <formula>M30=" "</formula>
    </cfRule>
  </conditionalFormatting>
  <conditionalFormatting sqref="AK30">
    <cfRule type="expression" dxfId="44" priority="52">
      <formula>AK30="EXTREMO"</formula>
    </cfRule>
    <cfRule type="expression" dxfId="43" priority="53">
      <formula>AK30="MODERADO"</formula>
    </cfRule>
    <cfRule type="expression" dxfId="42" priority="54">
      <formula>AK30="ALTO"</formula>
    </cfRule>
    <cfRule type="expression" dxfId="41" priority="55">
      <formula>AK30="BAJO"</formula>
    </cfRule>
  </conditionalFormatting>
  <conditionalFormatting sqref="AK30">
    <cfRule type="expression" dxfId="40" priority="51">
      <formula>AK30=" "</formula>
    </cfRule>
  </conditionalFormatting>
  <conditionalFormatting sqref="M31:M32">
    <cfRule type="expression" dxfId="39" priority="47">
      <formula>M31="EXTREMO"</formula>
    </cfRule>
    <cfRule type="expression" dxfId="38" priority="48">
      <formula>M31="MODERADO"</formula>
    </cfRule>
    <cfRule type="expression" dxfId="37" priority="49">
      <formula>M31="ALTO"</formula>
    </cfRule>
    <cfRule type="expression" dxfId="36" priority="50">
      <formula>M31="BAJO"</formula>
    </cfRule>
  </conditionalFormatting>
  <conditionalFormatting sqref="M31:M32">
    <cfRule type="expression" dxfId="35" priority="46">
      <formula>M31=" "</formula>
    </cfRule>
  </conditionalFormatting>
  <conditionalFormatting sqref="AK31:AK32">
    <cfRule type="expression" dxfId="34" priority="42">
      <formula>AK31="EXTREMO"</formula>
    </cfRule>
    <cfRule type="expression" dxfId="33" priority="43">
      <formula>AK31="MODERADO"</formula>
    </cfRule>
    <cfRule type="expression" dxfId="32" priority="44">
      <formula>AK31="ALTO"</formula>
    </cfRule>
    <cfRule type="expression" dxfId="31" priority="45">
      <formula>AK31="BAJO"</formula>
    </cfRule>
  </conditionalFormatting>
  <conditionalFormatting sqref="AK31:AK32">
    <cfRule type="expression" dxfId="30" priority="41">
      <formula>AK31=" "</formula>
    </cfRule>
  </conditionalFormatting>
  <conditionalFormatting sqref="M33:M34">
    <cfRule type="expression" dxfId="29" priority="37">
      <formula>M33="EXTREMO"</formula>
    </cfRule>
    <cfRule type="expression" dxfId="28" priority="38">
      <formula>M33="MODERADO"</formula>
    </cfRule>
    <cfRule type="expression" dxfId="27" priority="39">
      <formula>M33="ALTO"</formula>
    </cfRule>
    <cfRule type="expression" dxfId="26" priority="40">
      <formula>M33="BAJO"</formula>
    </cfRule>
  </conditionalFormatting>
  <conditionalFormatting sqref="M33:M34">
    <cfRule type="expression" dxfId="25" priority="36">
      <formula>M33=" "</formula>
    </cfRule>
  </conditionalFormatting>
  <conditionalFormatting sqref="AK33:AK34">
    <cfRule type="expression" dxfId="24" priority="32">
      <formula>AK33="EXTREMO"</formula>
    </cfRule>
    <cfRule type="expression" dxfId="23" priority="33">
      <formula>AK33="MODERADO"</formula>
    </cfRule>
    <cfRule type="expression" dxfId="22" priority="34">
      <formula>AK33="ALTO"</formula>
    </cfRule>
    <cfRule type="expression" dxfId="21" priority="35">
      <formula>AK33="BAJO"</formula>
    </cfRule>
  </conditionalFormatting>
  <conditionalFormatting sqref="AK33:AK34">
    <cfRule type="expression" dxfId="20" priority="31">
      <formula>AK33=" "</formula>
    </cfRule>
  </conditionalFormatting>
  <conditionalFormatting sqref="M35">
    <cfRule type="expression" dxfId="19" priority="27">
      <formula>M35="EXTREMO"</formula>
    </cfRule>
    <cfRule type="expression" dxfId="18" priority="28">
      <formula>M35="MODERADO"</formula>
    </cfRule>
    <cfRule type="expression" dxfId="17" priority="29">
      <formula>M35="ALTO"</formula>
    </cfRule>
    <cfRule type="expression" dxfId="16" priority="30">
      <formula>M35="BAJO"</formula>
    </cfRule>
  </conditionalFormatting>
  <conditionalFormatting sqref="M35">
    <cfRule type="expression" dxfId="15" priority="26">
      <formula>M35=" "</formula>
    </cfRule>
  </conditionalFormatting>
  <conditionalFormatting sqref="AK35">
    <cfRule type="expression" dxfId="14" priority="22">
      <formula>AK35="EXTREMO"</formula>
    </cfRule>
    <cfRule type="expression" dxfId="13" priority="23">
      <formula>AK35="MODERADO"</formula>
    </cfRule>
    <cfRule type="expression" dxfId="12" priority="24">
      <formula>AK35="ALTO"</formula>
    </cfRule>
    <cfRule type="expression" dxfId="11" priority="25">
      <formula>AK35="BAJO"</formula>
    </cfRule>
  </conditionalFormatting>
  <conditionalFormatting sqref="AK35">
    <cfRule type="expression" dxfId="10" priority="21">
      <formula>AK35=" "</formula>
    </cfRule>
  </conditionalFormatting>
  <conditionalFormatting sqref="AK42">
    <cfRule type="expression" dxfId="9" priority="1">
      <formula>AK42=" "</formula>
    </cfRule>
  </conditionalFormatting>
  <conditionalFormatting sqref="M42">
    <cfRule type="expression" dxfId="8" priority="7">
      <formula>M42="EXTREMO"</formula>
    </cfRule>
    <cfRule type="expression" dxfId="7" priority="8">
      <formula>M42="MODERADO"</formula>
    </cfRule>
    <cfRule type="expression" dxfId="6" priority="9">
      <formula>M42="ALTO"</formula>
    </cfRule>
    <cfRule type="expression" dxfId="5" priority="10">
      <formula>M42="BAJO"</formula>
    </cfRule>
  </conditionalFormatting>
  <conditionalFormatting sqref="M42">
    <cfRule type="expression" dxfId="4" priority="6">
      <formula>M42=" "</formula>
    </cfRule>
  </conditionalFormatting>
  <conditionalFormatting sqref="AK42">
    <cfRule type="expression" dxfId="3" priority="2">
      <formula>AK42="EXTREMO"</formula>
    </cfRule>
    <cfRule type="expression" dxfId="2" priority="3">
      <formula>AK42="MODERADO"</formula>
    </cfRule>
    <cfRule type="expression" dxfId="1" priority="4">
      <formula>AK42="ALTO"</formula>
    </cfRule>
    <cfRule type="expression" dxfId="0" priority="5">
      <formula>AK42="BAJO"</formula>
    </cfRule>
  </conditionalFormatting>
  <dataValidations count="3">
    <dataValidation allowBlank="1" showInputMessage="1" showErrorMessage="1" prompt="Se incluyó a partír de la Guía de riesgos borrador del DAFP" sqref="R10" xr:uid="{00000000-0002-0000-0000-000000000000}"/>
    <dataValidation allowBlank="1" showInputMessage="1" showErrorMessage="1" prompt="Estructura:_x000a__x000a_Responsable +_x000a_Periodicidad +_x000a_Proposito +_x000a_Cómo se realiza +_x000a_Qué pasa con las desviaciones +_x000a_Evidencia" sqref="N9:N10" xr:uid="{00000000-0002-0000-0000-000001000000}"/>
    <dataValidation allowBlank="1" showInputMessage="1" showErrorMessage="1" prompt="En la Guía del DAFP añaden campo de descripción del riesgo. Es la suma de Riesgo + Causas + Consecuencias: Complejiza el asunto" sqref="E8" xr:uid="{00000000-0002-0000-0000-00000200000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prompt="1 - Insignificante_x000a_2 - Menor_x000a_3 - Moderado_x000a_4 - Mayor_x000a_5 - Catastrófico" xr:uid="{00000000-0002-0000-0000-00000C000000}">
          <x14:formula1>
            <xm:f>'U:\Administración de Riesgos\2021\Mapas de riesgos por proceso\Guia 02\[2_MR_Comunicacion e Informacion.xlsx]Listas'!#REF!</xm:f>
          </x14:formula1>
          <xm:sqref>AI11 K11</xm:sqref>
        </x14:dataValidation>
        <x14:dataValidation type="list" allowBlank="1" showInputMessage="1" showErrorMessage="1" prompt="1 - Insignificante_x000a_2 - Menor_x000a_3 - Moderado_x000a_4 - Mayor_x000a_5 - Catastrófico" xr:uid="{00000000-0002-0000-0000-00000D000000}">
          <x14:formula1>
            <xm:f>'U:\Administración de Riesgos\2021\Mapas de riesgos por proceso\Guia 02\[4_MR_Gestion Normativa.xlsx]Listas'!#REF!</xm:f>
          </x14:formula1>
          <xm:sqref>K12 AI12 AI15:AI19 K15:K19</xm:sqref>
        </x14:dataValidation>
        <x14:dataValidation type="list" allowBlank="1" showInputMessage="1" showErrorMessage="1" prompt="1 - Rara vez_x000a_2 - Improbable_x000a_3 - Posible_x000a_4 - Probable_x000a_5 - Casi Seguro" xr:uid="{00000000-0002-0000-0000-00000E000000}">
          <x14:formula1>
            <xm:f>'U:\Administración de Riesgos\2021\Mapas de riesgos por proceso\Guia 02\[4_MR_Gestion Normativa.xlsx]Listas'!#REF!</xm:f>
          </x14:formula1>
          <xm:sqref>AH12:AH19</xm:sqref>
        </x14:dataValidation>
        <x14:dataValidation type="list" allowBlank="1" showInputMessage="1" showErrorMessage="1" prompt="1 - Insignificante_x000a_2 - Menor_x000a_3 - Moderado_x000a_4 - Mayor_x000a_5 - Catastrófico" xr:uid="{00000000-0002-0000-0000-00000F000000}">
          <x14:formula1>
            <xm:f>'U:\Administración de Riesgos\2021\Mapas de riesgos por proceso\Guia 02\[5_MR_Eleccion_servidores_publicos.xlsx]Listas'!#REF!</xm:f>
          </x14:formula1>
          <xm:sqref>K20 AI20</xm:sqref>
        </x14:dataValidation>
        <x14:dataValidation type="list" allowBlank="1" showInputMessage="1" showErrorMessage="1" prompt="1 - Insignificante_x000a_2 - Menor_x000a_3 - Moderado_x000a_4 - Mayor_x000a_5 - Catastrófico" xr:uid="{00000000-0002-0000-0000-000010000000}">
          <x14:formula1>
            <xm:f>'\\Cbprint\planeacion_sig\Users\Carolina Avila\Documents\4 Riesgos\Mapas de Riesgos Guia V01\[1 Mapa_Riesgos Direccionamiento Estratégico.xlsx]Listas'!#REF!</xm:f>
          </x14:formula1>
          <xm:sqref>K22:K25 AI22:AI25</xm:sqref>
        </x14:dataValidation>
        <x14:dataValidation type="list" allowBlank="1" showInputMessage="1" showErrorMessage="1" prompt="1 - Insignificante_x000a_2 - Menor_x000a_3 - Moderado_x000a_4 - Mayor_x000a_5 - Catastrófico" xr:uid="{00000000-0002-0000-0000-000011000000}">
          <x14:formula1>
            <xm:f>'U:\Administración de Riesgos\2021\Mapas de riesgos por proceso\Guia 02\[8_MR_Talento Humano.xlsx]Listas'!#REF!</xm:f>
          </x14:formula1>
          <xm:sqref>AI26:AI27 K26:K27</xm:sqref>
        </x14:dataValidation>
        <x14:dataValidation type="list" allowBlank="1" showInputMessage="1" showErrorMessage="1" prompt="1 - Insignificante_x000a_2 - Menor_x000a_3 - Moderado_x000a_4 - Mayor_x000a_5 - Catastrófico" xr:uid="{00000000-0002-0000-0000-000012000000}">
          <x14:formula1>
            <xm:f>'U:\Administración de Riesgos\2021\Mapas de riesgos por proceso\Guia 02\[9_MR_Gestion  Juridica.xlsx]Listas'!#REF!</xm:f>
          </x14:formula1>
          <xm:sqref>AI28 K28</xm:sqref>
        </x14:dataValidation>
        <x14:dataValidation type="list" allowBlank="1" showInputMessage="1" showErrorMessage="1" prompt="1 - Insignificante_x000a_2 - Menor_x000a_3 - Moderado_x000a_4 - Mayor_x000a_5 - Catastrófico" xr:uid="{00000000-0002-0000-0000-000013000000}">
          <x14:formula1>
            <xm:f>'U:\Administración de Riesgos\2021\Mapas de riesgos por proceso\Guia 02\[11_MR_Gestion_Recursos_Fisicos.xlsx]Listas'!#REF!</xm:f>
          </x14:formula1>
          <xm:sqref>AI29:AI30 K29:K30</xm:sqref>
        </x14:dataValidation>
        <x14:dataValidation type="list" allowBlank="1" showInputMessage="1" showErrorMessage="1" prompt="1 - Insignificante_x000a_2 - Menor_x000a_3 - Moderado_x000a_4 - Mayor_x000a_5 - Catastrófico" xr:uid="{00000000-0002-0000-0000-000014000000}">
          <x14:formula1>
            <xm:f>'U:\Administración de Riesgos\2021\Mapas de riesgos por proceso\Guia 02\[12_MR_Sistemas_Seguridad_Informacion.xlsx]Listas'!#REF!</xm:f>
          </x14:formula1>
          <xm:sqref>AI31:AI34 K31:K34</xm:sqref>
        </x14:dataValidation>
        <x14:dataValidation type="list" allowBlank="1" showInputMessage="1" showErrorMessage="1" prompt="1 - Insignificante_x000a_2 - Menor_x000a_3 - Moderado_x000a_4 - Mayor_x000a_5 - Catastrófico" xr:uid="{00000000-0002-0000-0000-000015000000}">
          <x14:formula1>
            <xm:f>'U:\Administración de Riesgos\2021\Mapas de riesgos por proceso\Guia 02\[14_MR_Gestion Financiera.xlsx]Listas'!#REF!</xm:f>
          </x14:formula1>
          <xm:sqref>AI35:AI38 K35:K38</xm:sqref>
        </x14:dataValidation>
        <x14:dataValidation type="list" allowBlank="1" showInputMessage="1" showErrorMessage="1" xr:uid="{00000000-0002-0000-0000-000016000000}">
          <x14:formula1>
            <xm:f>'U:\Administración de Riesgos\2021\Mapas de riesgos por proceso\Guia 02\[15_MR_Evaluacion independiente.xlsx]Listas'!#REF!</xm:f>
          </x14:formula1>
          <xm:sqref>I39:I46 C39:D46 AD39:AD46 AB39:AB46 Z39:Z46 X39:X46 V39:V46 T39:T46 O39:R46 AL39:AL46</xm:sqref>
        </x14:dataValidation>
        <x14:dataValidation type="list" allowBlank="1" showInputMessage="1" showErrorMessage="1" prompt="1 - Insignificante_x000a_2 - Menor_x000a_3 - Moderado_x000a_4 - Mayor_x000a_5 - Catastrófico" xr:uid="{00000000-0002-0000-0000-000017000000}">
          <x14:formula1>
            <xm:f>'U:\Administración de Riesgos\2021\Mapas de riesgos por proceso\Guia 02\[15_MR_Evaluacion independiente.xlsx]Listas'!#REF!</xm:f>
          </x14:formula1>
          <xm:sqref>K39:K46 AI39:AI46</xm:sqref>
        </x14:dataValidation>
        <x14:dataValidation type="list" allowBlank="1" showInputMessage="1" showErrorMessage="1" prompt="1 - Rara vez_x000a_2 - Improbable_x000a_3 - Posible_x000a_4 - Probable_x000a_5 - Casi Seguro" xr:uid="{00000000-0002-0000-0000-000018000000}">
          <x14:formula1>
            <xm:f>'U:\Administración de Riesgos\2021\Mapas de riesgos por proceso\Guia 02\[15_MR_Evaluacion independiente.xlsx]Listas'!#REF!</xm:f>
          </x14:formula1>
          <xm:sqref>J39:J46 AH39:AH46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opLeftCell="F1" workbookViewId="0">
      <selection activeCell="U9" sqref="U9"/>
    </sheetView>
  </sheetViews>
  <sheetFormatPr baseColWidth="10" defaultRowHeight="14.4" x14ac:dyDescent="0.3"/>
  <cols>
    <col min="1" max="1" width="39.109375" style="15" customWidth="1"/>
    <col min="2" max="2" width="37.5546875" customWidth="1"/>
    <col min="3" max="3" width="20.88671875" customWidth="1"/>
    <col min="4" max="4" width="38.88671875" bestFit="1" customWidth="1"/>
    <col min="5" max="5" width="27.33203125" customWidth="1"/>
    <col min="6" max="7" width="16.44140625" customWidth="1"/>
    <col min="8" max="8" width="15" bestFit="1" customWidth="1"/>
    <col min="9" max="9" width="23.33203125" bestFit="1" customWidth="1"/>
    <col min="10" max="10" width="11" bestFit="1" customWidth="1"/>
    <col min="11" max="11" width="5.88671875" bestFit="1" customWidth="1"/>
    <col min="12" max="12" width="11.6640625" bestFit="1" customWidth="1"/>
    <col min="13" max="13" width="5.88671875" bestFit="1" customWidth="1"/>
    <col min="14" max="14" width="10.88671875" bestFit="1" customWidth="1"/>
    <col min="15" max="15" width="5.88671875" bestFit="1" customWidth="1"/>
    <col min="16" max="16" width="12.33203125" bestFit="1" customWidth="1"/>
    <col min="17" max="17" width="5.88671875" bestFit="1" customWidth="1"/>
    <col min="18" max="18" width="12.109375" bestFit="1" customWidth="1"/>
    <col min="19" max="19" width="5.88671875" bestFit="1" customWidth="1"/>
    <col min="20" max="20" width="24.109375" bestFit="1" customWidth="1"/>
  </cols>
  <sheetData>
    <row r="1" spans="1:20" x14ac:dyDescent="0.3">
      <c r="A1" s="23" t="s">
        <v>5</v>
      </c>
      <c r="D1" s="24" t="s">
        <v>16</v>
      </c>
      <c r="F1" s="24" t="s">
        <v>17</v>
      </c>
      <c r="G1" s="24" t="s">
        <v>18</v>
      </c>
      <c r="I1" s="24" t="s">
        <v>11</v>
      </c>
      <c r="J1" s="202" t="s">
        <v>19</v>
      </c>
      <c r="K1" s="203"/>
      <c r="L1" s="203"/>
      <c r="M1" s="203"/>
      <c r="N1" s="203"/>
      <c r="O1" s="203"/>
      <c r="P1" s="203"/>
      <c r="Q1" s="203"/>
      <c r="R1" s="203"/>
      <c r="S1" s="203"/>
      <c r="T1" s="1" t="s">
        <v>37</v>
      </c>
    </row>
    <row r="2" spans="1:20" x14ac:dyDescent="0.3">
      <c r="A2" s="22" t="s">
        <v>101</v>
      </c>
      <c r="D2" s="21" t="s">
        <v>114</v>
      </c>
      <c r="F2" s="16">
        <v>1</v>
      </c>
      <c r="G2" s="16">
        <v>1</v>
      </c>
      <c r="I2" s="16" t="s">
        <v>29</v>
      </c>
      <c r="J2" s="26" t="s">
        <v>20</v>
      </c>
      <c r="K2" s="1" t="s">
        <v>28</v>
      </c>
      <c r="L2" s="1" t="s">
        <v>21</v>
      </c>
      <c r="M2" s="1" t="s">
        <v>28</v>
      </c>
      <c r="N2" s="1" t="s">
        <v>25</v>
      </c>
      <c r="O2" s="1" t="s">
        <v>28</v>
      </c>
      <c r="P2" s="1" t="s">
        <v>26</v>
      </c>
      <c r="Q2" s="1" t="s">
        <v>28</v>
      </c>
      <c r="R2" s="1" t="s">
        <v>11</v>
      </c>
      <c r="S2" s="1" t="s">
        <v>28</v>
      </c>
      <c r="T2" s="17" t="s">
        <v>38</v>
      </c>
    </row>
    <row r="3" spans="1:20" x14ac:dyDescent="0.3">
      <c r="A3" s="22" t="s">
        <v>102</v>
      </c>
      <c r="D3" s="21" t="s">
        <v>3</v>
      </c>
      <c r="F3" s="16">
        <v>2</v>
      </c>
      <c r="G3" s="16">
        <v>2</v>
      </c>
      <c r="I3" s="16" t="s">
        <v>30</v>
      </c>
      <c r="J3" s="27" t="s">
        <v>1</v>
      </c>
      <c r="K3" s="4">
        <v>20</v>
      </c>
      <c r="L3" s="4" t="s">
        <v>22</v>
      </c>
      <c r="M3" s="4">
        <v>20</v>
      </c>
      <c r="N3" s="4" t="s">
        <v>1</v>
      </c>
      <c r="O3" s="4">
        <v>20</v>
      </c>
      <c r="P3" s="4" t="s">
        <v>1</v>
      </c>
      <c r="Q3" s="4">
        <v>20</v>
      </c>
      <c r="R3" s="4" t="s">
        <v>1</v>
      </c>
      <c r="S3" s="4">
        <v>20</v>
      </c>
      <c r="T3" s="18" t="s">
        <v>39</v>
      </c>
    </row>
    <row r="4" spans="1:20" ht="28.8" x14ac:dyDescent="0.3">
      <c r="A4" s="22" t="s">
        <v>103</v>
      </c>
      <c r="D4" s="21" t="s">
        <v>4</v>
      </c>
      <c r="F4" s="16">
        <v>3</v>
      </c>
      <c r="G4" s="16">
        <v>3</v>
      </c>
      <c r="I4" s="16" t="s">
        <v>31</v>
      </c>
      <c r="J4" s="27" t="s">
        <v>2</v>
      </c>
      <c r="K4" s="4">
        <v>0</v>
      </c>
      <c r="L4" s="4" t="s">
        <v>23</v>
      </c>
      <c r="M4" s="4">
        <v>10</v>
      </c>
      <c r="N4" s="4" t="s">
        <v>2</v>
      </c>
      <c r="O4" s="4">
        <v>0</v>
      </c>
      <c r="P4" s="4" t="s">
        <v>2</v>
      </c>
      <c r="Q4" s="4">
        <v>0</v>
      </c>
      <c r="R4" s="4" t="s">
        <v>2</v>
      </c>
      <c r="S4" s="4">
        <v>0</v>
      </c>
      <c r="T4" s="18" t="s">
        <v>40</v>
      </c>
    </row>
    <row r="5" spans="1:20" x14ac:dyDescent="0.3">
      <c r="A5" s="22" t="s">
        <v>104</v>
      </c>
      <c r="D5" s="21" t="s">
        <v>15</v>
      </c>
      <c r="F5" s="16">
        <v>4</v>
      </c>
      <c r="G5" s="16">
        <v>4</v>
      </c>
      <c r="I5" s="16" t="s">
        <v>32</v>
      </c>
      <c r="J5" s="27"/>
      <c r="K5" s="4"/>
      <c r="L5" s="4" t="s">
        <v>24</v>
      </c>
      <c r="M5" s="4">
        <v>0</v>
      </c>
      <c r="N5" s="4"/>
      <c r="O5" s="4"/>
      <c r="P5" s="4"/>
      <c r="Q5" s="4"/>
      <c r="R5" s="4"/>
      <c r="S5" s="4"/>
      <c r="T5" s="18" t="s">
        <v>41</v>
      </c>
    </row>
    <row r="6" spans="1:20" x14ac:dyDescent="0.3">
      <c r="A6" s="22" t="s">
        <v>122</v>
      </c>
      <c r="D6" s="21" t="s">
        <v>81</v>
      </c>
      <c r="F6" s="16">
        <v>5</v>
      </c>
      <c r="G6" s="16">
        <v>5</v>
      </c>
      <c r="I6" s="16" t="s">
        <v>33</v>
      </c>
    </row>
    <row r="7" spans="1:20" x14ac:dyDescent="0.3">
      <c r="A7" s="22" t="s">
        <v>123</v>
      </c>
      <c r="D7" s="21" t="s">
        <v>82</v>
      </c>
      <c r="I7" s="16" t="s">
        <v>34</v>
      </c>
    </row>
    <row r="8" spans="1:20" x14ac:dyDescent="0.3">
      <c r="A8" s="22" t="s">
        <v>105</v>
      </c>
      <c r="D8" s="21" t="s">
        <v>130</v>
      </c>
      <c r="F8" s="24" t="s">
        <v>8</v>
      </c>
      <c r="I8" s="16" t="s">
        <v>35</v>
      </c>
    </row>
    <row r="9" spans="1:20" x14ac:dyDescent="0.3">
      <c r="A9" s="22" t="s">
        <v>106</v>
      </c>
      <c r="D9" s="21" t="s">
        <v>133</v>
      </c>
      <c r="F9" s="16" t="s">
        <v>0</v>
      </c>
    </row>
    <row r="10" spans="1:20" x14ac:dyDescent="0.3">
      <c r="A10" s="22" t="s">
        <v>107</v>
      </c>
      <c r="D10" s="21" t="s">
        <v>83</v>
      </c>
      <c r="F10" s="16" t="s">
        <v>85</v>
      </c>
    </row>
    <row r="11" spans="1:20" x14ac:dyDescent="0.3">
      <c r="A11" s="22" t="s">
        <v>108</v>
      </c>
      <c r="D11" s="21" t="s">
        <v>84</v>
      </c>
    </row>
    <row r="12" spans="1:20" x14ac:dyDescent="0.3">
      <c r="A12" s="22" t="s">
        <v>109</v>
      </c>
    </row>
    <row r="13" spans="1:20" x14ac:dyDescent="0.3">
      <c r="A13" s="22" t="s">
        <v>110</v>
      </c>
    </row>
    <row r="14" spans="1:20" x14ac:dyDescent="0.3">
      <c r="A14" s="22" t="s">
        <v>111</v>
      </c>
    </row>
    <row r="15" spans="1:20" x14ac:dyDescent="0.3">
      <c r="A15" s="22" t="s">
        <v>115</v>
      </c>
    </row>
    <row r="16" spans="1:20" x14ac:dyDescent="0.3">
      <c r="A16" s="22" t="s">
        <v>116</v>
      </c>
    </row>
    <row r="19" spans="1:5" x14ac:dyDescent="0.3">
      <c r="A19" s="204" t="s">
        <v>44</v>
      </c>
      <c r="B19" s="204"/>
      <c r="D19" s="25" t="s">
        <v>93</v>
      </c>
    </row>
    <row r="20" spans="1:5" x14ac:dyDescent="0.3">
      <c r="A20" s="1" t="s">
        <v>45</v>
      </c>
      <c r="B20" s="1" t="s">
        <v>46</v>
      </c>
      <c r="C20" s="28"/>
      <c r="D20" s="16" t="s">
        <v>94</v>
      </c>
    </row>
    <row r="21" spans="1:5" x14ac:dyDescent="0.3">
      <c r="A21" s="2" t="s">
        <v>88</v>
      </c>
      <c r="B21" s="2" t="s">
        <v>92</v>
      </c>
      <c r="C21" s="29"/>
      <c r="D21" s="16" t="s">
        <v>95</v>
      </c>
    </row>
    <row r="22" spans="1:5" x14ac:dyDescent="0.3">
      <c r="A22" s="2" t="s">
        <v>89</v>
      </c>
      <c r="B22" s="2" t="s">
        <v>52</v>
      </c>
      <c r="C22" s="29"/>
      <c r="D22" s="16" t="s">
        <v>96</v>
      </c>
    </row>
    <row r="23" spans="1:5" x14ac:dyDescent="0.3">
      <c r="A23" s="2" t="s">
        <v>90</v>
      </c>
      <c r="B23" s="2" t="s">
        <v>50</v>
      </c>
      <c r="C23" s="29"/>
      <c r="D23" s="16" t="s">
        <v>97</v>
      </c>
    </row>
    <row r="24" spans="1:5" x14ac:dyDescent="0.3">
      <c r="A24" s="2" t="s">
        <v>15</v>
      </c>
      <c r="B24" s="3" t="s">
        <v>53</v>
      </c>
      <c r="C24" s="30"/>
      <c r="D24" s="16" t="s">
        <v>121</v>
      </c>
    </row>
    <row r="25" spans="1:5" x14ac:dyDescent="0.3">
      <c r="A25" s="2" t="s">
        <v>91</v>
      </c>
      <c r="B25" s="2" t="s">
        <v>51</v>
      </c>
      <c r="C25" s="29"/>
    </row>
    <row r="26" spans="1:5" x14ac:dyDescent="0.3">
      <c r="A26" s="2" t="s">
        <v>113</v>
      </c>
      <c r="B26" s="2" t="s">
        <v>54</v>
      </c>
      <c r="C26" s="29"/>
    </row>
    <row r="29" spans="1:5" ht="28.5" customHeight="1" x14ac:dyDescent="0.3">
      <c r="A29" s="205"/>
      <c r="B29" s="205"/>
      <c r="C29" s="205"/>
      <c r="D29" s="205"/>
      <c r="E29" s="205"/>
    </row>
    <row r="30" spans="1:5" ht="30" customHeight="1" x14ac:dyDescent="0.3">
      <c r="A30" s="180" t="s">
        <v>55</v>
      </c>
      <c r="B30" s="13" t="s">
        <v>112</v>
      </c>
      <c r="C30" s="12">
        <v>15</v>
      </c>
    </row>
    <row r="31" spans="1:5" x14ac:dyDescent="0.3">
      <c r="A31" s="181"/>
      <c r="B31" s="20" t="s">
        <v>62</v>
      </c>
      <c r="C31" s="19">
        <v>0</v>
      </c>
    </row>
    <row r="32" spans="1:5" ht="45" customHeight="1" x14ac:dyDescent="0.3">
      <c r="A32" s="180" t="s">
        <v>56</v>
      </c>
      <c r="B32" s="13" t="s">
        <v>63</v>
      </c>
      <c r="C32" s="12">
        <v>15</v>
      </c>
    </row>
    <row r="33" spans="1:4" x14ac:dyDescent="0.3">
      <c r="A33" s="181"/>
      <c r="B33" s="20" t="s">
        <v>64</v>
      </c>
      <c r="C33" s="19">
        <v>0</v>
      </c>
    </row>
    <row r="34" spans="1:4" ht="75" customHeight="1" x14ac:dyDescent="0.3">
      <c r="A34" s="180" t="s">
        <v>57</v>
      </c>
      <c r="B34" s="13" t="s">
        <v>65</v>
      </c>
      <c r="C34" s="12">
        <v>15</v>
      </c>
    </row>
    <row r="35" spans="1:4" x14ac:dyDescent="0.3">
      <c r="A35" s="181"/>
      <c r="B35" s="20" t="s">
        <v>66</v>
      </c>
      <c r="C35" s="19">
        <v>0</v>
      </c>
    </row>
    <row r="36" spans="1:4" ht="75" customHeight="1" x14ac:dyDescent="0.3">
      <c r="A36" s="180" t="s">
        <v>58</v>
      </c>
      <c r="B36" s="13" t="s">
        <v>73</v>
      </c>
      <c r="C36" s="13">
        <v>15</v>
      </c>
    </row>
    <row r="37" spans="1:4" x14ac:dyDescent="0.3">
      <c r="A37" s="201"/>
      <c r="B37" s="20" t="s">
        <v>74</v>
      </c>
      <c r="C37" s="20">
        <v>10</v>
      </c>
    </row>
    <row r="38" spans="1:4" x14ac:dyDescent="0.3">
      <c r="A38" s="181"/>
      <c r="B38" s="20" t="s">
        <v>67</v>
      </c>
      <c r="C38" s="20">
        <v>0</v>
      </c>
    </row>
    <row r="39" spans="1:4" ht="60" customHeight="1" x14ac:dyDescent="0.3">
      <c r="A39" s="180" t="s">
        <v>59</v>
      </c>
      <c r="B39" s="13" t="s">
        <v>68</v>
      </c>
      <c r="C39" s="12">
        <v>15</v>
      </c>
    </row>
    <row r="40" spans="1:4" x14ac:dyDescent="0.3">
      <c r="A40" s="181"/>
      <c r="B40" s="20" t="s">
        <v>69</v>
      </c>
      <c r="C40" s="19">
        <v>0</v>
      </c>
    </row>
    <row r="41" spans="1:4" ht="75" customHeight="1" x14ac:dyDescent="0.3">
      <c r="A41" s="180" t="s">
        <v>60</v>
      </c>
      <c r="B41" s="13" t="s">
        <v>70</v>
      </c>
      <c r="C41" s="12">
        <v>15</v>
      </c>
    </row>
    <row r="42" spans="1:4" ht="27.6" x14ac:dyDescent="0.3">
      <c r="A42" s="181"/>
      <c r="B42" s="20" t="s">
        <v>71</v>
      </c>
      <c r="C42" s="19">
        <v>0</v>
      </c>
    </row>
    <row r="43" spans="1:4" ht="60" customHeight="1" x14ac:dyDescent="0.3">
      <c r="A43" s="180" t="s">
        <v>61</v>
      </c>
      <c r="B43" s="13" t="s">
        <v>72</v>
      </c>
      <c r="C43" s="12">
        <v>10</v>
      </c>
    </row>
    <row r="44" spans="1:4" x14ac:dyDescent="0.3">
      <c r="A44" s="201"/>
      <c r="B44" s="20" t="s">
        <v>75</v>
      </c>
      <c r="C44" s="19">
        <v>5</v>
      </c>
    </row>
    <row r="45" spans="1:4" x14ac:dyDescent="0.3">
      <c r="A45" s="181"/>
      <c r="B45" s="20" t="s">
        <v>76</v>
      </c>
      <c r="C45" s="19">
        <v>0</v>
      </c>
    </row>
    <row r="46" spans="1:4" ht="27.6" x14ac:dyDescent="0.3">
      <c r="A46" s="14" t="s">
        <v>80</v>
      </c>
      <c r="B46" s="13" t="s">
        <v>118</v>
      </c>
      <c r="C46" s="13" t="s">
        <v>119</v>
      </c>
      <c r="D46" s="31" t="s">
        <v>120</v>
      </c>
    </row>
  </sheetData>
  <mergeCells count="10">
    <mergeCell ref="J1:S1"/>
    <mergeCell ref="A19:B19"/>
    <mergeCell ref="A29:E29"/>
    <mergeCell ref="A32:A33"/>
    <mergeCell ref="A30:A31"/>
    <mergeCell ref="A43:A45"/>
    <mergeCell ref="A41:A42"/>
    <mergeCell ref="A39:A40"/>
    <mergeCell ref="A36:A38"/>
    <mergeCell ref="A34:A35"/>
  </mergeCells>
  <dataValidations count="1">
    <dataValidation allowBlank="1" showInputMessage="1" showErrorMessage="1" prompt="Se incluyó a partír de la Guía de riesgos borrador del DAFP" sqref="A30" xr:uid="{00000000-0002-0000-01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8C3ECA-5554-47EC-BD71-EAF7C121366E}">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2e1b66e6-84d5-4201-88fb-3f6ff4bcf672"/>
    <ds:schemaRef ds:uri="b88267a5-0852-4714-9a11-4aa7c350c1c2"/>
    <ds:schemaRef ds:uri="http://www.w3.org/XML/1998/namespace"/>
  </ds:schemaRefs>
</ds:datastoreItem>
</file>

<file path=customXml/itemProps2.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3.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Corrupción</vt:lpstr>
      <vt:lpstr>Listas</vt:lpstr>
      <vt:lpstr>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Avila</cp:lastModifiedBy>
  <cp:lastPrinted>2016-05-10T19:22:49Z</cp:lastPrinted>
  <dcterms:created xsi:type="dcterms:W3CDTF">2014-03-06T13:40:48Z</dcterms:created>
  <dcterms:modified xsi:type="dcterms:W3CDTF">2021-11-03T13:50:17Z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