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C:\Users\Carolina Avila\Documents\4 PAAC\Proyecto PAAC 2023\"/>
    </mc:Choice>
  </mc:AlternateContent>
  <xr:revisionPtr revIDLastSave="0" documentId="8_{6354B789-F8A2-4969-896C-E6D5C3D6C3AA}" xr6:coauthVersionLast="47" xr6:coauthVersionMax="47" xr10:uidLastSave="{00000000-0000-0000-0000-000000000000}"/>
  <bookViews>
    <workbookView xWindow="-108" yWindow="-108" windowWidth="23256" windowHeight="12576" tabRatio="840" xr2:uid="{00000000-000D-0000-FFFF-FFFF00000000}"/>
  </bookViews>
  <sheets>
    <sheet name="Mapa de Riesgo_Corrupción" sheetId="14" r:id="rId1"/>
  </sheets>
  <externalReferences>
    <externalReference r:id="rId2"/>
    <externalReference r:id="rId3"/>
    <externalReference r:id="rId4"/>
    <externalReference r:id="rId5"/>
    <externalReference r:id="rId6"/>
  </externalReferences>
  <definedNames>
    <definedName name="_xlnm.Print_Titles" localSheetId="0">'Mapa de Riesgo_Corrupción'!$1:$12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3" i="14" l="1"/>
  <c r="S13" i="14"/>
  <c r="AC43" i="14"/>
  <c r="AA43" i="14"/>
  <c r="Y43" i="14"/>
  <c r="W43" i="14"/>
  <c r="U43" i="14"/>
  <c r="S43" i="14"/>
  <c r="Q43" i="14"/>
  <c r="AC42" i="14"/>
  <c r="AA42" i="14"/>
  <c r="Y42" i="14"/>
  <c r="W42" i="14"/>
  <c r="U42" i="14"/>
  <c r="S42" i="14"/>
  <c r="Q42" i="14"/>
  <c r="AC41" i="14"/>
  <c r="AA41" i="14"/>
  <c r="Y41" i="14"/>
  <c r="W41" i="14"/>
  <c r="U41" i="14"/>
  <c r="S41" i="14"/>
  <c r="Q41" i="14"/>
  <c r="AC40" i="14"/>
  <c r="AA40" i="14"/>
  <c r="Y40" i="14"/>
  <c r="W40" i="14"/>
  <c r="U40" i="14"/>
  <c r="S40" i="14"/>
  <c r="Q40" i="14"/>
  <c r="AI39" i="14"/>
  <c r="AH39" i="14"/>
  <c r="AC39" i="14"/>
  <c r="AA39" i="14"/>
  <c r="Y39" i="14"/>
  <c r="W39" i="14"/>
  <c r="U39" i="14"/>
  <c r="S39" i="14"/>
  <c r="Q39" i="14"/>
  <c r="K39" i="14"/>
  <c r="J39" i="14"/>
  <c r="AD41" i="14" l="1"/>
  <c r="AD39" i="14"/>
  <c r="AE39" i="14" s="1"/>
  <c r="AD40" i="14"/>
  <c r="AD43" i="14"/>
  <c r="AD42" i="14"/>
  <c r="Q16" i="14"/>
  <c r="S16" i="14"/>
  <c r="U16" i="14"/>
  <c r="W16" i="14"/>
  <c r="Y16" i="14"/>
  <c r="AA16" i="14"/>
  <c r="AC16" i="14"/>
  <c r="AI34" i="14"/>
  <c r="AH34" i="14"/>
  <c r="AC34" i="14"/>
  <c r="AA34" i="14"/>
  <c r="Y34" i="14"/>
  <c r="W34" i="14"/>
  <c r="U34" i="14"/>
  <c r="S34" i="14"/>
  <c r="Q34" i="14"/>
  <c r="K34" i="14"/>
  <c r="J34" i="14"/>
  <c r="AD16" i="14" l="1"/>
  <c r="AD34" i="14"/>
  <c r="AE34" i="14" s="1"/>
  <c r="AI29" i="14" l="1"/>
  <c r="AH29" i="14"/>
  <c r="AC29" i="14"/>
  <c r="AA29" i="14"/>
  <c r="Y29" i="14"/>
  <c r="W29" i="14"/>
  <c r="U29" i="14"/>
  <c r="S29" i="14"/>
  <c r="Q29" i="14"/>
  <c r="K29" i="14"/>
  <c r="J29" i="14"/>
  <c r="AI24" i="14"/>
  <c r="AH24" i="14"/>
  <c r="AC24" i="14"/>
  <c r="AA24" i="14"/>
  <c r="Y24" i="14"/>
  <c r="W24" i="14"/>
  <c r="U24" i="14"/>
  <c r="S24" i="14"/>
  <c r="Q24" i="14"/>
  <c r="K24" i="14"/>
  <c r="J24" i="14"/>
  <c r="AI19" i="14"/>
  <c r="AH19" i="14"/>
  <c r="AC19" i="14"/>
  <c r="AA19" i="14"/>
  <c r="Y19" i="14"/>
  <c r="W19" i="14"/>
  <c r="U19" i="14"/>
  <c r="S19" i="14"/>
  <c r="Q19" i="14"/>
  <c r="K19" i="14"/>
  <c r="J19" i="14"/>
  <c r="AD19" i="14" l="1"/>
  <c r="AE19" i="14" s="1"/>
  <c r="AD24" i="14"/>
  <c r="AE24" i="14" s="1"/>
  <c r="AD29" i="14"/>
  <c r="AE29" i="14" s="1"/>
  <c r="AI17" i="14"/>
  <c r="AH17" i="14"/>
  <c r="AC17" i="14"/>
  <c r="AA17" i="14"/>
  <c r="Y17" i="14"/>
  <c r="W17" i="14"/>
  <c r="U17" i="14"/>
  <c r="S17" i="14"/>
  <c r="Q17" i="14"/>
  <c r="K17" i="14"/>
  <c r="J17" i="14"/>
  <c r="AD17" i="14" l="1"/>
  <c r="AE17" i="14" s="1"/>
  <c r="AC15" i="14"/>
  <c r="AA15" i="14"/>
  <c r="Y15" i="14"/>
  <c r="W15" i="14"/>
  <c r="U15" i="14"/>
  <c r="S15" i="14"/>
  <c r="Q15" i="14"/>
  <c r="AI14" i="14"/>
  <c r="AH14" i="14"/>
  <c r="AC14" i="14"/>
  <c r="AA14" i="14"/>
  <c r="Y14" i="14"/>
  <c r="W14" i="14"/>
  <c r="U14" i="14"/>
  <c r="S14" i="14"/>
  <c r="Q14" i="14"/>
  <c r="K14" i="14"/>
  <c r="J14" i="14"/>
  <c r="AD14" i="14" l="1"/>
  <c r="AD15" i="14"/>
  <c r="J13" i="14"/>
  <c r="AE14" i="14" l="1"/>
  <c r="W13" i="14"/>
  <c r="AC13" i="14"/>
  <c r="AA13" i="14"/>
  <c r="Y13" i="14"/>
  <c r="U13" i="14"/>
  <c r="AD13" i="14" l="1"/>
  <c r="AE13" i="14" s="1"/>
  <c r="AI13" i="14"/>
  <c r="K13" i="14"/>
  <c r="AH1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Carolina Ramos</author>
    <author>Carmen Catalina Arango Barbaran</author>
  </authors>
  <commentList>
    <comment ref="C11" authorId="0" shapeId="0" xr:uid="{00000000-0006-0000-0000-00000100000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M11" authorId="1" shapeId="0" xr:uid="{00000000-0006-0000-0000-000002000000}">
      <text>
        <r>
          <rPr>
            <b/>
            <sz val="9"/>
            <color indexed="81"/>
            <rFont val="Tahoma"/>
            <family val="2"/>
          </rPr>
          <t xml:space="preserve">Determine si el tipo de control de detectivo o preventivo
 </t>
        </r>
      </text>
    </comment>
    <comment ref="AF11" authorId="1" shapeId="0" xr:uid="{00000000-0006-0000-0000-000003000000}">
      <text>
        <r>
          <rPr>
            <b/>
            <sz val="9"/>
            <color indexed="81"/>
            <rFont val="Tahoma"/>
            <family val="2"/>
          </rPr>
          <t xml:space="preserve">Analice nuevamente el nivel de probabilidad del riesgo tomando en cuenta los controles descritos. </t>
        </r>
      </text>
    </comment>
    <comment ref="AG11" authorId="1" shapeId="0" xr:uid="{00000000-0006-0000-0000-00000400000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List>
</comments>
</file>

<file path=xl/sharedStrings.xml><?xml version="1.0" encoding="utf-8"?>
<sst xmlns="http://schemas.openxmlformats.org/spreadsheetml/2006/main" count="250" uniqueCount="138">
  <si>
    <t xml:space="preserve">Preventivo </t>
  </si>
  <si>
    <t xml:space="preserve">Riesgo Inherente </t>
  </si>
  <si>
    <t>Descripción del Control</t>
  </si>
  <si>
    <t xml:space="preserve">Tipo de Control </t>
  </si>
  <si>
    <t xml:space="preserve">Riesgo Residual </t>
  </si>
  <si>
    <t xml:space="preserve">Opciones de manejo </t>
  </si>
  <si>
    <t>CONTEXTO ESTRATÉGICO</t>
  </si>
  <si>
    <t>VALORACIÓN DEL RIESGO</t>
  </si>
  <si>
    <t xml:space="preserve">Probabilidad </t>
  </si>
  <si>
    <t>Impacto</t>
  </si>
  <si>
    <t>Responsable</t>
  </si>
  <si>
    <t xml:space="preserve">Calificación del Control </t>
  </si>
  <si>
    <t xml:space="preserve">Anual </t>
  </si>
  <si>
    <t xml:space="preserve">Total Calificación del Control </t>
  </si>
  <si>
    <t xml:space="preserve">Factores </t>
  </si>
  <si>
    <t>No de Riesgo</t>
  </si>
  <si>
    <t xml:space="preserve">Probabilidad 
Residual </t>
  </si>
  <si>
    <t>Impacto 
Residual</t>
  </si>
  <si>
    <t>Procesos</t>
  </si>
  <si>
    <t>Personal</t>
  </si>
  <si>
    <t>Tecnología</t>
  </si>
  <si>
    <t>¿Existe un responsable asignado a la ejecución del control ?</t>
  </si>
  <si>
    <t>¿El responsable tiene la autoridad y adecuada segregación de funciones en la ejecucion del control?</t>
  </si>
  <si>
    <t>¿ La oportunidad en que se ejecuta el control ayuda a prevenir la mitigación del riesgo o a detectar la materialización del riesgo de manera oportuna?</t>
  </si>
  <si>
    <t>¿Las actividades que se desarrollan en el control realmente buscan por sí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</si>
  <si>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</si>
  <si>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</si>
  <si>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</si>
  <si>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Adecuado</t>
  </si>
  <si>
    <t>Oportuna</t>
  </si>
  <si>
    <t>Confiable</t>
  </si>
  <si>
    <t>Se investigan y resuelven oportunamente</t>
  </si>
  <si>
    <t>Completa</t>
  </si>
  <si>
    <t>Prevenir</t>
  </si>
  <si>
    <t>Promedio</t>
  </si>
  <si>
    <t>El control mitiga la probabilidad</t>
  </si>
  <si>
    <t>El control mitiga el impacto</t>
  </si>
  <si>
    <t>Soporte</t>
  </si>
  <si>
    <t>Tiempo</t>
  </si>
  <si>
    <t>Políticos</t>
  </si>
  <si>
    <t>Reducir</t>
  </si>
  <si>
    <t>PROCESO: GESTIÓN DE MEJORA CONTINUA</t>
  </si>
  <si>
    <t>PROCESO:</t>
  </si>
  <si>
    <t xml:space="preserve">OBJETIVO: </t>
  </si>
  <si>
    <t>Actividad</t>
  </si>
  <si>
    <t>No. de Riesgo</t>
  </si>
  <si>
    <t>Comunicaciones e Información</t>
  </si>
  <si>
    <t>Asignado</t>
  </si>
  <si>
    <t>Legales y reglamentarios</t>
  </si>
  <si>
    <t>Consecuencia(s)</t>
  </si>
  <si>
    <t>Directamente</t>
  </si>
  <si>
    <t>Indirectamente</t>
  </si>
  <si>
    <t>No disminuye</t>
  </si>
  <si>
    <t>Internos
DEBILIDADES - FORTALEZAS</t>
  </si>
  <si>
    <t>ANÁLISIS DE RIESGO</t>
  </si>
  <si>
    <t>TRATAMIENTO DE RIESGOS</t>
  </si>
  <si>
    <t>Plan de tratamiento de riesgos</t>
  </si>
  <si>
    <t>Externos
AMENAZAS - OPORTUNIDADES</t>
  </si>
  <si>
    <t>Causas / 
Vulnerabilidades</t>
  </si>
  <si>
    <t xml:space="preserve">Descripción del Riesgo de Corrupción </t>
  </si>
  <si>
    <t xml:space="preserve">Divulgar la información tanto interna como externa generada en la Corporación, hacia la ciudadanía , los diferentes grupos de interes y los usuarios internos, garantizando un correcto flujo y acceso a la misma y contribuyendo asi, a la proyecciòn y posicionamiento de la imagen institucional. </t>
  </si>
  <si>
    <t xml:space="preserve">Intención de un tercero de utilizar el prestigio  de la Corporación, a través de la Oficina Asesora de Comunicaciones, para favorecer sus intereses personales.
Alta exposición y fàcil acceso a la Corporación de los actores externos. </t>
  </si>
  <si>
    <t>Manejo inadecuado de divulgación de la información, a través de la Corporación, para favorecer a un tercero.</t>
  </si>
  <si>
    <t>Afectación de la imagen  y credibilidad ante la ciudadanía de la labor institucional.
Acciones disciplinarias.</t>
  </si>
  <si>
    <t>El Jefe de la Oficina de Comunicaciones con su equipo, cada vez que  solicitan la publicación de un comunicado ( en página web o redes sociales), revisan el contenido a publicar, y en caso de encontrar sesgos favorables a terceros se le informa al solicitante por medio del correo electrónico institucional que no es posible publicar su comunicado, de no aceptar ajustarlo se pide un concepto a la Dirección Técnico Juridica.</t>
  </si>
  <si>
    <t>Mantener y desarrollar las actividades de control del procedimiento del proceso</t>
  </si>
  <si>
    <t>Evidencias establecidas en el procedimiento.</t>
  </si>
  <si>
    <t>Oficina Asesora de Comunicaciones</t>
  </si>
  <si>
    <t>Concentrar las labores de supervisión en poco personal.
Desconocimiento de la normativa aplicable a la supervisión contractual.
Retrasos en la gestión para la adquisición de bienes y servicios para la Corporación.</t>
  </si>
  <si>
    <t>Posibilidad de Inadecuada gestión contractual de los supervisores en los requerimientos realizadas a la Dirección Financiera, generando incumplimiento de las obligaciones contractuales, en beneficio propio o de un tercero.</t>
  </si>
  <si>
    <t>Incumplimiento del objeto contractual por parte del contratista.
Servicios prestados no acordes a la necesidades que se pretendían satisfacer.
Demora en los pagos a los contratistas.
Sanciones pecuniarias por el pago sin la verificación de la prestación de servicio o la entrega de bienes contratados.</t>
  </si>
  <si>
    <t>Una vez perfeccionado el contrato y remitido por la Subdirección de Asuntos Contractuales - SDH, este remite comunicación oficial  al funcionario asignado como Supervisor del Contrato, informándole la designación en la supervisión y su responsabilidades; por comunicación oficial se adjunta el link del Manual de Contratación y la Guía de Supervisor de Contrato.</t>
  </si>
  <si>
    <t xml:space="preserve">Realizar reuniones y/o capacitaciones semestrales con los Supervisores de Contrato y los Apoyos a la Supervisión y Contratistas para evidenciar las observaciones en el ejercicio de la supervisión y formular las acciones que correspondan. </t>
  </si>
  <si>
    <t>Acta de Reunión</t>
  </si>
  <si>
    <t>Director Financiero y Equipo Fondo Cuenta Concejo</t>
  </si>
  <si>
    <t>Semestral</t>
  </si>
  <si>
    <t>Recibida la cuenta de cobro por parte de los contratistas de la Dirección Financiera y por parte de los Supervisores de las demás dependencias de la Corporación; se   procede a verificar la documentación y soportes aportados (Ej.: Pago seguridad social, Informe de Supervisión Periódica, Facturas si aplica, Informe de Ejecución Mensual, entre otros), siendo correcto, se da visto bueno en el Formato Ejecución y Supervisión de Contratos y el Procedimiento Fondo Cuenta,  elabora oficio remisorio a la SDH. En caso de evidenciar observaciones, se devuelve al supervisor para los correspondientes ajustes.</t>
  </si>
  <si>
    <t>Recibido el Informe final de la ejecución del contrato por parte de los contratistas de la Dirección Financiera y por parte de los Supervisores de las demás dependencias de la Corporación, se procede a verificar la documentación y los soportes aportados (Ej.: Pago seguridad social, Informe de Ejecución y Supervisión Periódica, Facturas si aplica, informe final, entre otros); siendo correcta la documentación, el Procedimiento Fondo Cuenta, elabora oficio remisorio a la SDH. En caso de evidenciar observaciones, se devuelve al supervisor para los correspondientes ajustes.</t>
  </si>
  <si>
    <t xml:space="preserve">Capacitar a los  Supervisores de Contrato, Apoyos a la Supervisión y Contratistas con el propósito de orientar en la correcta presentación de la documentación y los aplicativos correspondientes. </t>
  </si>
  <si>
    <t>Registro de Asistencia</t>
  </si>
  <si>
    <t>Anual</t>
  </si>
  <si>
    <t>Que se presente omisión en los requisitos establecidos de tiempo y norma.</t>
  </si>
  <si>
    <t>No cumplir con los lineamientos establecidos en los actos administrativos que se expiden para llevar a cabo la elección de servidores públicos  secretario general de organismo de control y/o subsecretarios de despacho de las comisiones permanentes, o en la toma de decisiones en beneficio propio o de un tercero</t>
  </si>
  <si>
    <t>Pérdida de confianza en lo público
'Indagación y/o investigación administrativa, disciplinaria, fiscal o penal.</t>
  </si>
  <si>
    <t>La Mesa Directiva de la Corporación cuando  requiera adelantar la convocatoria pública para la elección del Secretario General de Organismo de Control y los Subsecretarios de Despacho de las Comisiones Permanentes, garantizará los principios de transparencia y publicidad, ordenando en el acto administrativo de apertura y reglamentación del proceso, la publicación de las hojas de vida de los aspirantes con sus respectivos anexos, solicitará el acompañamiento del Ministerio Público, con el propósito de  verificar que la convocatoria se adelanta conforme al procedimiento establecido por la Mesa Directiva, consultará la pagina web de la Corporación y asistirá a las sesiones convocadas  en desarrollo del proceso. En caso de presentarse desviaciones se comunicará lo sucedido a la autoridad competente para que inicie las investigaciones a que haya lugar. Así mismo, se adelantarán las actuaciones administrativas pertinentes con el propósito de garantizar el debido proceso y demás principios que rigen las actuaciones administrativas.</t>
  </si>
  <si>
    <t>La Mesa Directiva de la Corporación solicitará el acompañamiento del Ministerio Público al momento de apertura de la Convocatoria pública para la  elección del Secretario General y Subsecretarios de Despacho de las Comisiones Permanentes. Así mismo, la Mesa Directiva de la Corporación ordenará publicar las hojas de vida de los aspirantes a ocupar los cargos en la págian web de la Corporación, garantizando la protección de datos sensibles.</t>
  </si>
  <si>
    <t>Acto Administrativo de apertura y reglamentación de la convocatoria pública para la  elección del Secretario General de Organismo de Control y Subsecretarios de Despacho de las Comisiones Permanentes; Publicación de la Convocatoria en la Página Web de la Corporación; Oficio en el que se solicita el acompañamiento del Ministerio Público</t>
  </si>
  <si>
    <t>Mesa Directiva de la Corporación , Secretaria General, Dirección Jurídica, Oficina de Comunicaciones.</t>
  </si>
  <si>
    <t xml:space="preserve">No cumplir con lo establecido en el procedimiento de Gestión Normativa para el sorteo de Ponentes, favoreciendo a un tercero. </t>
  </si>
  <si>
    <t>Incumplimiento de los requisitos para el sorteo de ponentes que facilita la obtención de beneficios propios o para un tercero</t>
  </si>
  <si>
    <t>Indagación y/o investigación administrativa, fiscal, disciplinaria o penal</t>
  </si>
  <si>
    <t>El presidente de la Corporación, en presencia del Secretario General de Organismo de Control, con el apoyo de recursos humanos, tecnológicos y físicos ( balotas o digital) , en cada periodo ordinario o extraordinario de sesiones realiza el sorteo público de ponentes,  adoptando medidas de transparencia tales como: convocatoria pública para que asistan los concejales, secretarios de comisiones permanentes, funcionarios de las UAN, delegados de la Administración Distrital, y en caso de inobservancia del reglamento interno lo puedan advertir. El evento se trasmite en tiempo real   y se graba para dejar evidencia de su realización.</t>
  </si>
  <si>
    <t>1. Convocar a los interesados para el sorteo de los proyectos de acuerdo.
2. Grabar en video y audio el sorteo, disponibles en la red interna de la Corporación.                                          3. Gestionar la designación de un asesor de mesa directiva, para que verifique la designación de ponentes, conforme al Reglamento Interno.                                                              4. El secretario general y/o los subsecretarios de despacho, junto con los profesionales de apoyo, verificar la designación de ponentes, conforme al Reglamento Interno y en caso de irregularidad, informar al Presidente para realización de nuevo sorteo.</t>
  </si>
  <si>
    <t>1. Correo electronico convocando a los interesados 
2. Memorandos de comunicación                        3. Memorando de solicitud de designación de asesor</t>
  </si>
  <si>
    <t>1. Secretaria general
2. Direccion adminsitrativa/sistemas</t>
  </si>
  <si>
    <t>Sesiones ordinarias (Febrero, Mayo, Agosto y Noviembre) y en sesiones extraordinarias año 2023</t>
  </si>
  <si>
    <t>Acción u omisión en el cumplimiento de las funciones del servidor público</t>
  </si>
  <si>
    <t>Falencias en la socialización y apropiación del código integridad, para que los servidores públicos de la Corporación, den prioridad al interés público sobre el interés particular.</t>
  </si>
  <si>
    <t xml:space="preserve">Manipulacion en el diligenciamiento de las planillas  de registro de asistencia para el reconocimiento de honorarios de los Concejales a la sesiones plenaria y comisiones permanentes. </t>
  </si>
  <si>
    <t>Expedición de certificaciones de honorarios que no se ajusten a la asistencia real de los Honorables Concejales a las sesiones plenarias y comisiones, para beneficio propio o de un tercero.              vulnerabilidad en el sistema de resgitro por modificaciones al sistema que permiten que otras personas tengan acceso a la tarjeta o al pin de registro.</t>
  </si>
  <si>
    <t>Indagación y/o investigación administrativa, fiscal, disciplinaria o penal 
Detrimento patrimonial</t>
  </si>
  <si>
    <t>Antes del inicio de la sesion los encargados de cabina revisaran que no se encuentren tarjetas introducidas en el sistema de resgistro de  cada curul.
El profesional asignado por parte del secretario general o el subsecretario después de cada sesión, revisa los llamados a lista diligenciados por el secretario ejecutivo o el auxiliar administrativo. En caso de encontrar desviaciones con el  registro electrónico o el llamado a lista de soporte, por falla del procedimiento electrónico, el profesional realiza los ajustes respectivos.  Adicionalmente el secretario general y los subsecretarios de comisiones, verifican los soportes (llamados a lista de cada sesión) para expedir las certificaciones mensuales. El secretario general verifica las certificaciones de los subsecretarios de comisiones y realiza el consolidado  mensual de asistencia de Concejales, para efectos de reconocimiento y pago de honorarios.</t>
  </si>
  <si>
    <t>Verificar la certificacion con el registro suministrado por sistemas y en caso de fallas del sistema, se verificará el llamado a lista confrontado con la grabación de la sesión, de conformidad con el reglamento interno vigente</t>
  </si>
  <si>
    <t>Registro de asistencia expedido por sistemas de cada una de las sesiones o el llamado a lista firmado por el secretario o subsecretario.</t>
  </si>
  <si>
    <t>Secretario General de Organismo de control
Subsecretarios de Comisiones permanentes</t>
  </si>
  <si>
    <t>Enero -Diciembre  (mensual)</t>
  </si>
  <si>
    <t>No verificar el registro biométrico de votación para diligenciar el formato de votacion.</t>
  </si>
  <si>
    <t>Expedición de registros de votaciones que no corresponden a las reales, con el fin de favorecer un interés propio o de terceros</t>
  </si>
  <si>
    <t>El profesional asignado por parte del secretario general o el subsecretario,  elabora el registro de votación una vez culminada la sesión, a la mayor brevedad posible el secretario general o subsecretario de comisión revisa y verifica la información para firmar el formato respectivo. En  caso de encontrar inconsistencias  ajusta la votacion de conformidad con la grabacion respectivos . Una vez firmado el formato de votacion  se publica en la red interna y la página Web, en cumplimiento de la ley 1712 de 2014 y la resolucion expedida por la mesa directiva del Concejo de Bogota para tal fin.</t>
  </si>
  <si>
    <t>Registro de votación expedido por sistemas de cada una de las sesiones o el llamado a lista firmado por el secretario o subsecretario.</t>
  </si>
  <si>
    <t>Secretario General de organismo de control, 
Subsecretarios de Comisiones permanentes</t>
  </si>
  <si>
    <t xml:space="preserve">Sesiones ordinarias (Febrero, Mayo, Agosto y Noviembre) y en sesiones extraordinarias por decreto </t>
  </si>
  <si>
    <t>Omisión en el registro de la votación que se lleve a cabo.</t>
  </si>
  <si>
    <t>NO verficar la grabacion de las sesiones  (audio -video)</t>
  </si>
  <si>
    <t>Conducta inapropiada de integridad del servidor público</t>
  </si>
  <si>
    <t>Posibilidad de afectar la independencia del proceso de evaluación independiente al emplear la información obtenida en el marco de los procesos de Auditoría Interna, para favorecer a un tercero o usarla en beneficio propio</t>
  </si>
  <si>
    <t>Afectación de la imagen de la oficina y la entidad frente a la integridad y confidencialidad de la información de las auditorías internas.
Informes de auditoría sesgados a beneficio de terceros.</t>
  </si>
  <si>
    <r>
      <t xml:space="preserve">En cada auditoría interna se realiza reunión con el Jefe de Control Interno para revisar el </t>
    </r>
    <r>
      <rPr>
        <u/>
        <sz val="11"/>
        <color theme="1"/>
        <rFont val="Arial"/>
        <family val="2"/>
      </rPr>
      <t xml:space="preserve">informe preliminar </t>
    </r>
    <r>
      <rPr>
        <sz val="11"/>
        <color theme="1"/>
        <rFont val="Arial"/>
        <family val="2"/>
      </rPr>
      <t>de auditoría  y en caso de encontrar diferencias, se realizan los ajustes correspondientes con el fin de que el Informe disponga de revisión por el lider del proceso.</t>
    </r>
  </si>
  <si>
    <t xml:space="preserve">Revisión del Informe Final con la intervensión del Jefe de la Oficina de Control Interno. </t>
  </si>
  <si>
    <t>Informe Final firmado por el Jefe de Control Interno.</t>
  </si>
  <si>
    <t>Jefe de la OCI y Auditor líder</t>
  </si>
  <si>
    <t>31  de diciembre de 2023</t>
  </si>
  <si>
    <t>PROCESO</t>
  </si>
  <si>
    <t>COMUNICACIONES E INFORMACIÓN</t>
  </si>
  <si>
    <t>GESTIÓN FINANCIERA</t>
  </si>
  <si>
    <t>GESTIÓN NORMATIVA</t>
  </si>
  <si>
    <t>EVALUACIÓN INDEPENDIENTE</t>
  </si>
  <si>
    <t xml:space="preserve">Intereses y presiones de actores internos o  externos para favorecer a un particular. </t>
  </si>
  <si>
    <t>Posibilidad de favorecer a personas que no cumplan los requisitos en los planes de  bienestar o capacitación con el fin de beneficiar a particulares. SAIDI</t>
  </si>
  <si>
    <t>Acciones disciplinarias y fiscales
Afectación del clima laboral</t>
  </si>
  <si>
    <t>Los funcionarios del componente de bienestar y capacitación cada vez que se desarrolla una actividad del plan, realizan la inscripción de los funcionarios que van a participar en las actividades, con el fin de verificar el cumplimiento de requisitos y los cupos disponibles. En el desarrollo de las actividades se llevan planillas de asistencia de los participantes. En el caso de encontrar personas inscritas para participar en las actividades que no cumplen los requisitos se informa a la persona por medio de un correo electrónico</t>
  </si>
  <si>
    <t>Realizar cumplimiento de los procedimientos de Plan de Bienestar e Incentivos y Capacitación a Funcionarios.</t>
  </si>
  <si>
    <t>Listados de inscripción para las actividades de bienestar y capacitación.
Base de datos de los inscritos</t>
  </si>
  <si>
    <t>Equipo de Bienestar y capacitación</t>
  </si>
  <si>
    <t>31 de diciembre de 2023</t>
  </si>
  <si>
    <t>ELECCIÓN DE SERVIDORES PÚBLICOS DISTRITALES</t>
  </si>
  <si>
    <t>TALENTO HUMANO</t>
  </si>
  <si>
    <t>MAPA DE RIEGOS DE CORRUPCIÓN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</si>
</sst>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1"/>
      <color theme="1"/>
      <name val="Calibri"/>
      <family val="2"/>
      <scheme val="minor"/>
    </font>
    <font>
      <sz val="9"/>
      <color indexed="81"/>
      <name val="Tahoma"/>
      <family val="2"/>
    </font>
    <font>
      <b/>
      <sz val="9"/>
      <color indexed="81"/>
      <name val="Tahoma"/>
      <family val="2"/>
    </font>
    <font>
      <sz val="11"/>
      <color theme="1"/>
      <name val="Arial"/>
      <family val="2"/>
    </font>
    <font>
      <b/>
      <sz val="11"/>
      <color theme="1"/>
      <name val="Arial"/>
      <family val="2"/>
    </font>
    <font>
      <sz val="10"/>
      <color theme="1"/>
      <name val="Arial"/>
      <family val="2"/>
    </font>
    <font>
      <b/>
      <sz val="10"/>
      <color theme="1"/>
      <name val="Arial"/>
      <family val="2"/>
    </font>
    <font>
      <sz val="10"/>
      <name val="Arial"/>
      <family val="2"/>
    </font>
    <font>
      <b/>
      <sz val="10"/>
      <name val="Arial"/>
      <family val="2"/>
    </font>
    <font>
      <sz val="11"/>
      <color theme="1"/>
      <name val="Calibri"/>
      <family val="2"/>
      <scheme val="minor"/>
    </font>
    <font>
      <sz val="11"/>
      <name val="Arial"/>
      <family val="2"/>
    </font>
    <font>
      <u/>
      <sz val="11"/>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43" fontId="9" fillId="0" borderId="0" applyFont="0" applyFill="0" applyBorder="0" applyAlignment="0" applyProtection="0"/>
  </cellStyleXfs>
  <cellXfs count="106">
    <xf numFmtId="0" fontId="0" fillId="0" borderId="0" xfId="0"/>
    <xf numFmtId="0" fontId="5" fillId="0" borderId="0" xfId="0" applyFont="1" applyAlignment="1">
      <alignment vertical="center"/>
    </xf>
    <xf numFmtId="0" fontId="6" fillId="0" borderId="0" xfId="0" applyFont="1" applyAlignment="1">
      <alignment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1" xfId="0" applyFont="1" applyBorder="1" applyAlignment="1">
      <alignment horizontal="center" vertical="center"/>
    </xf>
    <xf numFmtId="0" fontId="5" fillId="0" borderId="2"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1" xfId="0" quotePrefix="1" applyFont="1" applyBorder="1" applyAlignment="1">
      <alignment vertical="center" wrapText="1"/>
    </xf>
    <xf numFmtId="0" fontId="7" fillId="6" borderId="1" xfId="0" quotePrefix="1" applyFont="1" applyFill="1" applyBorder="1" applyAlignment="1">
      <alignment vertical="center" wrapText="1"/>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vertical="center"/>
    </xf>
    <xf numFmtId="0" fontId="7" fillId="6" borderId="1" xfId="0" applyFont="1" applyFill="1" applyBorder="1" applyAlignment="1">
      <alignment vertical="center" wrapText="1"/>
    </xf>
    <xf numFmtId="0" fontId="7" fillId="6" borderId="1" xfId="0" applyFont="1" applyFill="1" applyBorder="1" applyAlignment="1">
      <alignment horizontal="center" vertical="center" wrapText="1"/>
    </xf>
    <xf numFmtId="17" fontId="7" fillId="0" borderId="1" xfId="0" applyNumberFormat="1" applyFont="1" applyBorder="1" applyAlignment="1">
      <alignment horizontal="center" vertical="center"/>
    </xf>
    <xf numFmtId="0" fontId="8" fillId="0" borderId="0" xfId="0" applyFont="1" applyAlignment="1">
      <alignment vertical="center"/>
    </xf>
    <xf numFmtId="0" fontId="3" fillId="6" borderId="1" xfId="0" applyFont="1" applyFill="1" applyBorder="1" applyAlignment="1">
      <alignment vertical="center" wrapText="1"/>
    </xf>
    <xf numFmtId="43" fontId="3" fillId="0" borderId="1" xfId="1" applyFont="1" applyBorder="1" applyAlignment="1">
      <alignment horizontal="center" vertical="center" wrapText="1"/>
    </xf>
    <xf numFmtId="0" fontId="3" fillId="0" borderId="1" xfId="0" quotePrefix="1" applyFont="1" applyBorder="1" applyAlignment="1">
      <alignment horizontal="justify" vertical="center" wrapText="1"/>
    </xf>
    <xf numFmtId="0" fontId="8"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10" fillId="6" borderId="1" xfId="0" applyFont="1" applyFill="1" applyBorder="1" applyAlignment="1">
      <alignment horizontal="justify" vertical="center" wrapText="1"/>
    </xf>
    <xf numFmtId="0" fontId="3" fillId="6" borderId="1" xfId="0" applyFont="1" applyFill="1" applyBorder="1" applyAlignment="1">
      <alignment horizontal="center" vertical="center" wrapText="1"/>
    </xf>
    <xf numFmtId="0" fontId="3" fillId="0" borderId="1" xfId="0" applyFont="1" applyBorder="1" applyAlignment="1">
      <alignment vertical="center" wrapText="1"/>
    </xf>
    <xf numFmtId="0" fontId="10" fillId="6" borderId="1" xfId="0" applyFont="1" applyFill="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6" borderId="12" xfId="0" applyFont="1" applyFill="1" applyBorder="1" applyAlignment="1">
      <alignment vertical="center" wrapText="1"/>
    </xf>
    <xf numFmtId="0" fontId="3" fillId="6" borderId="12" xfId="0" applyFont="1" applyFill="1" applyBorder="1" applyAlignment="1">
      <alignment horizontal="center" vertical="center" wrapText="1"/>
    </xf>
    <xf numFmtId="0" fontId="5" fillId="0" borderId="16" xfId="0" applyFont="1" applyBorder="1" applyAlignment="1">
      <alignment vertical="center"/>
    </xf>
    <xf numFmtId="0" fontId="5" fillId="0" borderId="17" xfId="0" applyFont="1" applyBorder="1" applyAlignment="1">
      <alignment vertical="center"/>
    </xf>
    <xf numFmtId="0" fontId="10" fillId="6" borderId="17" xfId="0" applyFont="1" applyFill="1" applyBorder="1" applyAlignment="1">
      <alignment vertical="center" wrapText="1"/>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3" fillId="6" borderId="17" xfId="0" applyFont="1" applyFill="1" applyBorder="1" applyAlignment="1">
      <alignment vertical="center" wrapText="1"/>
    </xf>
    <xf numFmtId="0" fontId="3" fillId="6" borderId="17"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4" fillId="2" borderId="1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3" fillId="0" borderId="12"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6" borderId="12" xfId="0" applyFont="1" applyFill="1" applyBorder="1" applyAlignment="1">
      <alignment horizontal="justify" vertical="center" wrapText="1"/>
    </xf>
    <xf numFmtId="0" fontId="3" fillId="6" borderId="1" xfId="0" applyFont="1" applyFill="1" applyBorder="1" applyAlignment="1">
      <alignment horizontal="justify" vertical="center" wrapText="1"/>
    </xf>
    <xf numFmtId="0" fontId="3" fillId="6" borderId="17" xfId="0" applyFont="1" applyFill="1" applyBorder="1" applyAlignment="1">
      <alignment horizontal="justify" vertic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horizontal="center" vertical="center"/>
    </xf>
    <xf numFmtId="0" fontId="4" fillId="2" borderId="4" xfId="0" applyFont="1" applyFill="1" applyBorder="1" applyAlignment="1">
      <alignment horizontal="center" vertical="center"/>
    </xf>
    <xf numFmtId="0" fontId="4" fillId="0" borderId="4" xfId="0" applyFont="1" applyBorder="1" applyAlignment="1">
      <alignment horizontal="center" vertical="center"/>
    </xf>
    <xf numFmtId="0" fontId="3" fillId="6" borderId="1"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1" xfId="0" quotePrefix="1" applyFont="1" applyFill="1" applyBorder="1" applyAlignment="1">
      <alignment horizontal="justify" vertical="center" wrapText="1"/>
    </xf>
    <xf numFmtId="0" fontId="10" fillId="6" borderId="1" xfId="0" applyFont="1" applyFill="1" applyBorder="1" applyAlignment="1">
      <alignment horizontal="justify" vertical="center" wrapText="1"/>
    </xf>
    <xf numFmtId="0" fontId="10" fillId="6" borderId="1" xfId="0" quotePrefix="1" applyFont="1" applyFill="1" applyBorder="1" applyAlignment="1">
      <alignment horizontal="center" vertical="center" wrapText="1"/>
    </xf>
    <xf numFmtId="0" fontId="3" fillId="0" borderId="1" xfId="0" quotePrefix="1" applyFont="1" applyBorder="1" applyAlignment="1">
      <alignment horizontal="center" vertical="center" wrapText="1"/>
    </xf>
    <xf numFmtId="0" fontId="3" fillId="6" borderId="1" xfId="0" quotePrefix="1" applyFont="1" applyFill="1" applyBorder="1" applyAlignment="1">
      <alignment horizontal="justify" vertical="center" wrapText="1"/>
    </xf>
    <xf numFmtId="43" fontId="3" fillId="0" borderId="1" xfId="1" applyFont="1" applyBorder="1" applyAlignment="1">
      <alignment horizontal="center" vertical="center" wrapText="1"/>
    </xf>
    <xf numFmtId="0" fontId="5" fillId="0" borderId="0" xfId="0" applyFont="1" applyAlignment="1">
      <alignment horizontal="center" vertical="center"/>
    </xf>
    <xf numFmtId="0" fontId="6" fillId="9" borderId="2"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5" borderId="9" xfId="0" applyFont="1" applyFill="1" applyBorder="1" applyAlignment="1">
      <alignment horizontal="center" vertical="center"/>
    </xf>
    <xf numFmtId="0" fontId="6" fillId="5" borderId="3"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8" borderId="3" xfId="0" applyFont="1" applyFill="1" applyBorder="1" applyAlignment="1">
      <alignment horizontal="center" vertical="center"/>
    </xf>
    <xf numFmtId="0" fontId="6" fillId="7" borderId="9"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6" fillId="10" borderId="1" xfId="0" applyFont="1" applyFill="1" applyBorder="1" applyAlignment="1">
      <alignment horizontal="center" vertical="center" wrapText="1"/>
    </xf>
    <xf numFmtId="0" fontId="3" fillId="0" borderId="13"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8" xfId="0" applyFont="1" applyBorder="1" applyAlignment="1">
      <alignment horizontal="justify"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9" xfId="0" applyFont="1" applyBorder="1" applyAlignment="1">
      <alignment horizontal="center" vertical="center" wrapText="1"/>
    </xf>
  </cellXfs>
  <cellStyles count="2">
    <cellStyle name="Millares" xfId="1" builtinId="3"/>
    <cellStyle name="Normal" xfId="0" builtinId="0"/>
  </cellStyles>
  <dxfs count="60">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130628</xdr:colOff>
      <xdr:row>0</xdr:row>
      <xdr:rowOff>178654</xdr:rowOff>
    </xdr:from>
    <xdr:to>
      <xdr:col>0</xdr:col>
      <xdr:colOff>883103</xdr:colOff>
      <xdr:row>2</xdr:row>
      <xdr:rowOff>302479</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178654"/>
          <a:ext cx="752475" cy="8858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cabrejo/Downloads/2023_14_MRC_Gestion%20Financie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cabrejo/Downloads/2)%201-%20MAPA%20DE%20RIESGOS%20DE%20CORRUPCI&#211;N%20V%202023%20solo%201%20(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cabrejo/Downloads/2)%20MAPA%20DE%20RIESGOS%20DE%20CORRUPCI&#211;N%20V%202023%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cabrejo/Downloads/2.MAPA%20DE%20RIESGOS%20DE%20CORRUPCI&#211;N%20V%202023%20PROCESO%20EVALUACION%20INDEPENDIEN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cabrejo/Documents/APOYO%20RIESGOS+CIGD/RIESGOS%20DE%20CORRUPCI&#211;N_2023/MAPA%20DE%20RIESGOS%20DE%20CORRUPCI&#211;N%20TH%20%20V%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_Corrupción"/>
      <sheetName val="M1.Cal_Prob_Impacto_Corrupc"/>
      <sheetName val="Listas"/>
    </sheetNames>
    <sheetDataSet>
      <sheetData sheetId="0"/>
      <sheetData sheetId="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_Corrupción"/>
      <sheetName val="M1.Cal_Prob_Impacto_Corrupc"/>
      <sheetName val="Listas"/>
    </sheetNames>
    <sheetDataSet>
      <sheetData sheetId="0"/>
      <sheetData sheetId="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_Corrupción"/>
      <sheetName val="M1.Cal_Prob_Impacto_Corrupc"/>
      <sheetName val="Listas"/>
    </sheetNames>
    <sheetDataSet>
      <sheetData sheetId="0"/>
      <sheetData sheetId="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_Corrupción"/>
      <sheetName val="M1.Cal_Prob_Impacto_Corrupc"/>
      <sheetName val="Listas"/>
    </sheetNames>
    <sheetDataSet>
      <sheetData sheetId="0"/>
      <sheetData sheetId="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_Corrupción"/>
      <sheetName val="M1.Cal_Prob_Impacto_Corrupc"/>
      <sheetName val="Listas"/>
    </sheetNames>
    <sheetDataSet>
      <sheetData sheetId="0"/>
      <sheetData sheetId="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N108"/>
  <sheetViews>
    <sheetView tabSelected="1" zoomScale="110" zoomScaleNormal="110" workbookViewId="0">
      <selection sqref="A1:A3"/>
    </sheetView>
  </sheetViews>
  <sheetFormatPr baseColWidth="10" defaultColWidth="11.44140625" defaultRowHeight="13.2" x14ac:dyDescent="0.3"/>
  <cols>
    <col min="1" max="1" width="14.33203125" style="1" customWidth="1"/>
    <col min="2" max="2" width="20.5546875" style="1" customWidth="1"/>
    <col min="3" max="4" width="25" style="1" customWidth="1"/>
    <col min="5" max="5" width="33" style="1" customWidth="1"/>
    <col min="6" max="6" width="34" style="1" customWidth="1"/>
    <col min="7" max="7" width="23.6640625" style="1" customWidth="1"/>
    <col min="8" max="8" width="16.88671875" style="3" customWidth="1"/>
    <col min="9" max="9" width="15.6640625" style="3" customWidth="1"/>
    <col min="10" max="10" width="5.44140625" style="1" customWidth="1"/>
    <col min="11" max="11" width="12.109375" style="1" customWidth="1"/>
    <col min="12" max="12" width="58.33203125" style="1" customWidth="1"/>
    <col min="13" max="13" width="13.44140625" style="1" hidden="1" customWidth="1"/>
    <col min="14" max="14" width="14.109375" style="1" hidden="1" customWidth="1"/>
    <col min="15" max="15" width="13.33203125" style="1" hidden="1" customWidth="1"/>
    <col min="16" max="29" width="12.5546875" style="1" hidden="1" customWidth="1"/>
    <col min="30" max="30" width="13.88671875" style="1" hidden="1" customWidth="1"/>
    <col min="31" max="31" width="12.44140625" style="1" hidden="1" customWidth="1"/>
    <col min="32" max="33" width="16.5546875" style="1" hidden="1" customWidth="1"/>
    <col min="34" max="34" width="5.5546875" style="1" customWidth="1"/>
    <col min="35" max="35" width="25.33203125" style="1" customWidth="1"/>
    <col min="36" max="36" width="20.6640625" style="1" customWidth="1"/>
    <col min="37" max="38" width="27" style="1" customWidth="1"/>
    <col min="39" max="40" width="20.6640625" style="1" customWidth="1"/>
    <col min="41" max="16384" width="11.44140625" style="1"/>
  </cols>
  <sheetData>
    <row r="1" spans="1:40" ht="30" customHeight="1" x14ac:dyDescent="0.3">
      <c r="A1" s="86"/>
      <c r="B1" s="103" t="s">
        <v>41</v>
      </c>
      <c r="C1" s="104"/>
      <c r="D1" s="104"/>
      <c r="E1" s="104"/>
      <c r="F1" s="104"/>
      <c r="G1" s="104"/>
      <c r="H1" s="104"/>
      <c r="I1" s="104"/>
      <c r="J1" s="104"/>
      <c r="K1" s="104"/>
      <c r="L1" s="105"/>
      <c r="AM1" s="2"/>
      <c r="AN1" s="2"/>
    </row>
    <row r="2" spans="1:40" ht="30" customHeight="1" x14ac:dyDescent="0.3">
      <c r="A2" s="86"/>
      <c r="B2" s="93" t="s">
        <v>137</v>
      </c>
      <c r="C2" s="94"/>
      <c r="D2" s="94"/>
      <c r="E2" s="94"/>
      <c r="F2" s="94"/>
      <c r="G2" s="94"/>
      <c r="H2" s="94"/>
      <c r="I2" s="94"/>
      <c r="J2" s="94"/>
      <c r="K2" s="94"/>
      <c r="L2" s="95"/>
      <c r="AM2" s="2"/>
      <c r="AN2" s="2"/>
    </row>
    <row r="3" spans="1:40" ht="30" customHeight="1" x14ac:dyDescent="0.3">
      <c r="A3" s="86"/>
      <c r="B3" s="96"/>
      <c r="C3" s="97"/>
      <c r="D3" s="97"/>
      <c r="E3" s="97"/>
      <c r="F3" s="97"/>
      <c r="G3" s="97"/>
      <c r="H3" s="97"/>
      <c r="I3" s="97"/>
      <c r="J3" s="97"/>
      <c r="K3" s="97"/>
      <c r="L3" s="98"/>
      <c r="AM3" s="2"/>
      <c r="AN3" s="2"/>
    </row>
    <row r="4" spans="1:40" hidden="1" x14ac:dyDescent="0.3">
      <c r="A4" s="3"/>
      <c r="B4" s="3"/>
      <c r="C4" s="4"/>
      <c r="D4" s="4"/>
      <c r="E4" s="4"/>
      <c r="F4" s="4"/>
      <c r="H4" s="1"/>
      <c r="I4" s="1"/>
      <c r="AM4" s="2"/>
      <c r="AN4" s="2"/>
    </row>
    <row r="5" spans="1:40" ht="23.25" hidden="1" customHeight="1" x14ac:dyDescent="0.3">
      <c r="A5" s="5" t="s">
        <v>42</v>
      </c>
      <c r="B5" s="5"/>
      <c r="C5" s="86" t="s">
        <v>46</v>
      </c>
      <c r="D5" s="86"/>
      <c r="E5" s="86"/>
      <c r="F5" s="86"/>
      <c r="H5" s="1"/>
      <c r="I5" s="1"/>
      <c r="AK5" s="2"/>
      <c r="AL5" s="2"/>
      <c r="AM5" s="2"/>
      <c r="AN5" s="2"/>
    </row>
    <row r="6" spans="1:40" ht="60" hidden="1" customHeight="1" x14ac:dyDescent="0.3">
      <c r="A6" s="5" t="s">
        <v>43</v>
      </c>
      <c r="B6" s="5"/>
      <c r="C6" s="87" t="s">
        <v>60</v>
      </c>
      <c r="D6" s="87"/>
      <c r="E6" s="87"/>
      <c r="F6" s="87"/>
      <c r="H6" s="4"/>
      <c r="I6" s="4"/>
      <c r="J6" s="4"/>
      <c r="K6" s="4"/>
      <c r="L6" s="4"/>
    </row>
    <row r="7" spans="1:40" s="3" customFormat="1" x14ac:dyDescent="0.3">
      <c r="V7" s="79"/>
      <c r="W7" s="79"/>
      <c r="X7" s="79"/>
      <c r="Y7" s="79"/>
      <c r="Z7" s="79"/>
      <c r="AE7" s="1"/>
      <c r="AF7" s="1"/>
      <c r="AG7" s="1"/>
      <c r="AH7" s="1"/>
      <c r="AI7" s="1"/>
      <c r="AJ7" s="1"/>
    </row>
    <row r="8" spans="1:40" s="3" customFormat="1" x14ac:dyDescent="0.3">
      <c r="AE8" s="1"/>
      <c r="AF8" s="1"/>
      <c r="AG8" s="1"/>
      <c r="AH8" s="1"/>
      <c r="AI8" s="1"/>
      <c r="AJ8" s="1"/>
    </row>
    <row r="9" spans="1:40" s="3" customFormat="1" x14ac:dyDescent="0.3">
      <c r="M9" s="6"/>
      <c r="N9" s="6"/>
      <c r="O9" s="6"/>
      <c r="P9" s="6"/>
      <c r="Q9" s="6"/>
      <c r="R9" s="6"/>
      <c r="S9" s="6"/>
      <c r="T9" s="6"/>
      <c r="U9" s="6"/>
      <c r="V9" s="6"/>
      <c r="W9" s="6"/>
      <c r="X9" s="6"/>
      <c r="Y9" s="6"/>
      <c r="Z9" s="6"/>
      <c r="AA9" s="6"/>
      <c r="AB9" s="6"/>
      <c r="AC9" s="6"/>
      <c r="AD9" s="6"/>
      <c r="AE9" s="1"/>
      <c r="AF9" s="1"/>
      <c r="AG9" s="1"/>
      <c r="AH9" s="1"/>
      <c r="AI9" s="1"/>
      <c r="AJ9" s="1"/>
    </row>
    <row r="10" spans="1:40" ht="15" customHeight="1" x14ac:dyDescent="0.3">
      <c r="C10" s="89" t="s">
        <v>6</v>
      </c>
      <c r="D10" s="90"/>
      <c r="E10" s="88"/>
      <c r="F10" s="88"/>
      <c r="G10" s="88"/>
      <c r="H10" s="91" t="s">
        <v>54</v>
      </c>
      <c r="I10" s="92"/>
      <c r="J10" s="92"/>
      <c r="K10" s="92"/>
      <c r="L10" s="80" t="s">
        <v>7</v>
      </c>
      <c r="M10" s="80"/>
      <c r="N10" s="80"/>
      <c r="O10" s="80"/>
      <c r="P10" s="80"/>
      <c r="Q10" s="80"/>
      <c r="R10" s="80"/>
      <c r="S10" s="80"/>
      <c r="T10" s="80"/>
      <c r="U10" s="80"/>
      <c r="V10" s="80"/>
      <c r="W10" s="80"/>
      <c r="X10" s="80"/>
      <c r="Y10" s="80"/>
      <c r="Z10" s="80"/>
      <c r="AA10" s="80"/>
      <c r="AB10" s="80"/>
      <c r="AC10" s="80"/>
      <c r="AD10" s="80"/>
      <c r="AE10" s="80"/>
      <c r="AF10" s="80"/>
      <c r="AG10" s="80"/>
      <c r="AH10" s="80"/>
      <c r="AI10" s="81"/>
      <c r="AJ10" s="82" t="s">
        <v>55</v>
      </c>
      <c r="AK10" s="83"/>
      <c r="AL10" s="83"/>
      <c r="AM10" s="83"/>
      <c r="AN10" s="83"/>
    </row>
    <row r="11" spans="1:40" s="2" customFormat="1" ht="15" customHeight="1" x14ac:dyDescent="0.3">
      <c r="A11" s="84" t="s">
        <v>45</v>
      </c>
      <c r="B11" s="22"/>
      <c r="C11" s="84" t="s">
        <v>14</v>
      </c>
      <c r="D11" s="84"/>
      <c r="E11" s="84" t="s">
        <v>58</v>
      </c>
      <c r="F11" s="84" t="s">
        <v>59</v>
      </c>
      <c r="G11" s="84" t="s">
        <v>49</v>
      </c>
      <c r="H11" s="99" t="s">
        <v>8</v>
      </c>
      <c r="I11" s="99" t="s">
        <v>9</v>
      </c>
      <c r="J11" s="99" t="s">
        <v>1</v>
      </c>
      <c r="K11" s="99"/>
      <c r="L11" s="84" t="s">
        <v>2</v>
      </c>
      <c r="M11" s="84" t="s">
        <v>3</v>
      </c>
      <c r="N11" s="84" t="s">
        <v>35</v>
      </c>
      <c r="O11" s="84" t="s">
        <v>36</v>
      </c>
      <c r="P11" s="84" t="s">
        <v>11</v>
      </c>
      <c r="Q11" s="84"/>
      <c r="R11" s="84"/>
      <c r="S11" s="84"/>
      <c r="T11" s="84"/>
      <c r="U11" s="84"/>
      <c r="V11" s="84"/>
      <c r="W11" s="84"/>
      <c r="X11" s="84"/>
      <c r="Y11" s="84"/>
      <c r="Z11" s="84"/>
      <c r="AA11" s="84"/>
      <c r="AB11" s="84"/>
      <c r="AC11" s="84"/>
      <c r="AD11" s="85" t="s">
        <v>13</v>
      </c>
      <c r="AE11" s="85" t="s">
        <v>34</v>
      </c>
      <c r="AF11" s="84" t="s">
        <v>16</v>
      </c>
      <c r="AG11" s="84" t="s">
        <v>17</v>
      </c>
      <c r="AH11" s="84" t="s">
        <v>4</v>
      </c>
      <c r="AI11" s="84"/>
      <c r="AJ11" s="84" t="s">
        <v>5</v>
      </c>
      <c r="AK11" s="84" t="s">
        <v>56</v>
      </c>
      <c r="AL11" s="84"/>
      <c r="AM11" s="84"/>
      <c r="AN11" s="84"/>
    </row>
    <row r="12" spans="1:40" s="2" customFormat="1" ht="106.5" customHeight="1" x14ac:dyDescent="0.3">
      <c r="A12" s="84" t="s">
        <v>15</v>
      </c>
      <c r="B12" s="22" t="s">
        <v>122</v>
      </c>
      <c r="C12" s="22" t="s">
        <v>53</v>
      </c>
      <c r="D12" s="22" t="s">
        <v>57</v>
      </c>
      <c r="E12" s="84"/>
      <c r="F12" s="84"/>
      <c r="G12" s="84"/>
      <c r="H12" s="99"/>
      <c r="I12" s="99"/>
      <c r="J12" s="99"/>
      <c r="K12" s="99"/>
      <c r="L12" s="84"/>
      <c r="M12" s="84"/>
      <c r="N12" s="84"/>
      <c r="O12" s="84"/>
      <c r="P12" s="84" t="s">
        <v>21</v>
      </c>
      <c r="Q12" s="84"/>
      <c r="R12" s="84" t="s">
        <v>22</v>
      </c>
      <c r="S12" s="84"/>
      <c r="T12" s="84" t="s">
        <v>23</v>
      </c>
      <c r="U12" s="84"/>
      <c r="V12" s="84" t="s">
        <v>24</v>
      </c>
      <c r="W12" s="84"/>
      <c r="X12" s="84" t="s">
        <v>25</v>
      </c>
      <c r="Y12" s="84"/>
      <c r="Z12" s="84" t="s">
        <v>26</v>
      </c>
      <c r="AA12" s="84"/>
      <c r="AB12" s="84" t="s">
        <v>27</v>
      </c>
      <c r="AC12" s="84"/>
      <c r="AD12" s="85"/>
      <c r="AE12" s="85"/>
      <c r="AF12" s="84"/>
      <c r="AG12" s="84"/>
      <c r="AH12" s="84"/>
      <c r="AI12" s="84"/>
      <c r="AJ12" s="84"/>
      <c r="AK12" s="22" t="s">
        <v>44</v>
      </c>
      <c r="AL12" s="22" t="s">
        <v>37</v>
      </c>
      <c r="AM12" s="22" t="s">
        <v>10</v>
      </c>
      <c r="AN12" s="22" t="s">
        <v>38</v>
      </c>
    </row>
    <row r="13" spans="1:40" s="17" customFormat="1" ht="100.5" customHeight="1" x14ac:dyDescent="0.3">
      <c r="A13" s="7">
        <v>1</v>
      </c>
      <c r="B13" s="21" t="s">
        <v>123</v>
      </c>
      <c r="C13" s="8"/>
      <c r="D13" s="8" t="s">
        <v>39</v>
      </c>
      <c r="E13" s="9" t="s">
        <v>61</v>
      </c>
      <c r="F13" s="10" t="s">
        <v>62</v>
      </c>
      <c r="G13" s="10" t="s">
        <v>63</v>
      </c>
      <c r="H13" s="7">
        <v>2</v>
      </c>
      <c r="I13" s="7">
        <v>3</v>
      </c>
      <c r="J13" s="11">
        <f>H13*I13</f>
        <v>6</v>
      </c>
      <c r="K13" s="12" t="str">
        <f>IF(AND(H13=1,I13=1),"BAJO",IF(AND(H13=1,I13=2),"BAJO",IF(AND(H13=2,I13=1),"BAJO",IF(AND(H13=2,I13=2),"BAJO",IF(AND(H13=3,I13=1),"BAJO",IF(AND(H13=1,I13=3),"MODERADO",IF(AND(H13=2,I13=3),"MODERADO",IF(AND(H13=3,I13=2),"MODERADO",IF(AND(H13=4,I13=1),"MODERADO",IF(AND(H13=5,I13=1),"ALTO",IF(AND(H13=4,I13=2),"ALTO",IF(AND(H13=3,I13=3),"ALTO",IF(AND(H13=2,I13=4),"ALTO",IF(AND(H13=1,I13=4),"ALTO",IF(AND(H13=5,I13=2),"ALTO",IF(AND(H13=4,I13=3),"ALTO","EXTREMO"))))))))))))))))</f>
        <v>MODERADO</v>
      </c>
      <c r="L13" s="8" t="s">
        <v>64</v>
      </c>
      <c r="M13" s="13" t="s">
        <v>0</v>
      </c>
      <c r="N13" s="8" t="s">
        <v>50</v>
      </c>
      <c r="O13" s="8" t="s">
        <v>52</v>
      </c>
      <c r="P13" s="14" t="s">
        <v>47</v>
      </c>
      <c r="Q13" s="15" t="e">
        <f>IF(P13="Asignado",#REF!,#REF!)</f>
        <v>#REF!</v>
      </c>
      <c r="R13" s="14" t="s">
        <v>28</v>
      </c>
      <c r="S13" s="15" t="e">
        <f>IF(R13="Adecuado",#REF!,#REF!)</f>
        <v>#REF!</v>
      </c>
      <c r="T13" s="14" t="s">
        <v>29</v>
      </c>
      <c r="U13" s="15" t="e">
        <f>IF(T13="Oportuna",#REF!,#REF!)</f>
        <v>#REF!</v>
      </c>
      <c r="V13" s="14" t="s">
        <v>33</v>
      </c>
      <c r="W13" s="15" t="e">
        <f>IF(V13="Prevenir",#REF!,IF(V13="Detectar",#REF!,#REF!))</f>
        <v>#REF!</v>
      </c>
      <c r="X13" s="14" t="s">
        <v>30</v>
      </c>
      <c r="Y13" s="15" t="e">
        <f>IF(X13="Confiable",#REF!,#REF!)</f>
        <v>#REF!</v>
      </c>
      <c r="Z13" s="14" t="s">
        <v>31</v>
      </c>
      <c r="AA13" s="15" t="e">
        <f>IF(Z13="Se investigan y resuelven oportunamente",#REF!,#REF!)</f>
        <v>#REF!</v>
      </c>
      <c r="AB13" s="14" t="s">
        <v>32</v>
      </c>
      <c r="AC13" s="15" t="e">
        <f>IF(AB13="Completa",#REF!,IF(AB13="Incompleta",#REF!,#REF!))</f>
        <v>#REF!</v>
      </c>
      <c r="AD13" s="7" t="e">
        <f>Q13+S13+U13+W13+Y13+AA13+AC13</f>
        <v>#REF!</v>
      </c>
      <c r="AE13" s="7" t="e">
        <f>AVERAGE(AD13:AD13)</f>
        <v>#REF!</v>
      </c>
      <c r="AF13" s="7">
        <v>1</v>
      </c>
      <c r="AG13" s="7">
        <v>3</v>
      </c>
      <c r="AH13" s="11">
        <f>AF13*AG13</f>
        <v>3</v>
      </c>
      <c r="AI13" s="12" t="str">
        <f>IF(AND(AF13=1,AG13=1),"BAJO",IF(AND(AF13=1,AG13=2),"BAJO",IF(AND(AF13=2,AG13=1),"BAJO",IF(AND(AF13=2,AG13=2),"BAJO",IF(AND(AF13=3,AG13=1),"BAJO",IF(AND(AF13=1,AG13=3),"MODERADO",IF(AND(AF13=2,AG13=3),"MODERADO",IF(AND(AF13=3,AG13=2),"MODERADO",IF(AND(AF13=4,AG13=1),"MODERADO",IF(AND(AF13=5,AG13=1),"ALTO",IF(AND(AF13=4,AG13=2),"ALTO",IF(AND(AF13=3,AG13=3),"ALTO",IF(AND(AF13=2,AG13=4),"ALTO",IF(AND(AF13=1,AG13=4),"ALTO",IF(AND(AF13=5,AG13=2),"ALTO",IF(AND(AF13=4,AG13=3),"ALTO","EXTREMO"))))))))))))))))</f>
        <v>MODERADO</v>
      </c>
      <c r="AJ13" s="8" t="s">
        <v>40</v>
      </c>
      <c r="AK13" s="8" t="s">
        <v>65</v>
      </c>
      <c r="AL13" s="8" t="s">
        <v>66</v>
      </c>
      <c r="AM13" s="8" t="s">
        <v>67</v>
      </c>
      <c r="AN13" s="16">
        <v>45261</v>
      </c>
    </row>
    <row r="14" spans="1:40" ht="96.6" x14ac:dyDescent="0.3">
      <c r="A14" s="43">
        <v>2</v>
      </c>
      <c r="B14" s="58" t="s">
        <v>124</v>
      </c>
      <c r="C14" s="59" t="s">
        <v>18</v>
      </c>
      <c r="D14" s="59" t="s">
        <v>48</v>
      </c>
      <c r="E14" s="59" t="s">
        <v>68</v>
      </c>
      <c r="F14" s="75" t="s">
        <v>69</v>
      </c>
      <c r="G14" s="77" t="s">
        <v>70</v>
      </c>
      <c r="H14" s="43">
        <v>1</v>
      </c>
      <c r="I14" s="43">
        <v>4</v>
      </c>
      <c r="J14" s="46">
        <f>H14*I14</f>
        <v>4</v>
      </c>
      <c r="K14" s="49" t="str">
        <f>IF(AND(H14=1,I14=1),"BAJO",IF(AND(H14=1,I14=2),"BAJO",IF(AND(H14=2,I14=1),"BAJO",IF(AND(H14=2,I14=2),"BAJO",IF(AND(H14=3,I14=1),"BAJO",IF(AND(H14=1,I14=3),"MODERADO",IF(AND(H14=2,I14=3),"MODERADO",IF(AND(H14=3,I14=2),"MODERADO",IF(AND(H14=4,I14=1),"MODERADO",IF(AND(H14=5,I14=1),"ALTO",IF(AND(H14=4,I14=2),"ALTO",IF(AND(H14=3,I14=3),"ALTO",IF(AND(H14=2,I14=4),"ALTO",IF(AND(H14=1,I14=4),"ALTO",IF(AND(H14=5,I14=2),"ALTO",IF(AND(H14=4,I14=3),"ALTO","EXTREMO"))))))))))))))))</f>
        <v>ALTO</v>
      </c>
      <c r="L14" s="26" t="s">
        <v>71</v>
      </c>
      <c r="M14" s="23" t="s">
        <v>0</v>
      </c>
      <c r="N14" s="24" t="s">
        <v>50</v>
      </c>
      <c r="O14" s="24" t="s">
        <v>52</v>
      </c>
      <c r="P14" s="18" t="s">
        <v>47</v>
      </c>
      <c r="Q14" s="27">
        <f>IF(P14="Asignado",[1]Listas!$C$30,[1]Listas!$C$31)</f>
        <v>15</v>
      </c>
      <c r="R14" s="18" t="s">
        <v>28</v>
      </c>
      <c r="S14" s="27">
        <f>IF(R14="Adecuado",[1]Listas!$C$32,[1]Listas!$C$33)</f>
        <v>15</v>
      </c>
      <c r="T14" s="18" t="s">
        <v>29</v>
      </c>
      <c r="U14" s="27">
        <f>IF(T14="Oportuna",[1]Listas!$C$34,[1]Listas!$C$35)</f>
        <v>15</v>
      </c>
      <c r="V14" s="18" t="s">
        <v>33</v>
      </c>
      <c r="W14" s="27">
        <f>IF(V14="Prevenir",[1]Listas!$C$36,IF(V14="Detectar",[1]Listas!$C$37,[1]Listas!$C$38))</f>
        <v>15</v>
      </c>
      <c r="X14" s="18" t="s">
        <v>30</v>
      </c>
      <c r="Y14" s="27">
        <f>IF(X14="Confiable",[1]Listas!$C$39,[1]Listas!$C$40)</f>
        <v>15</v>
      </c>
      <c r="Z14" s="18" t="s">
        <v>31</v>
      </c>
      <c r="AA14" s="27">
        <f>IF(Z14="Se investigan y resuelven oportunamente",[1]Listas!$C$41,[1]Listas!$C$42)</f>
        <v>15</v>
      </c>
      <c r="AB14" s="18" t="s">
        <v>32</v>
      </c>
      <c r="AC14" s="27">
        <f>IF(AB14="Completa",[1]Listas!$C$43,IF(AB14="Incompleta",[1]Listas!$C$44,[1]Listas!$C$45))</f>
        <v>10</v>
      </c>
      <c r="AD14" s="23">
        <f>Q14+S14+U14+W14+Y14+AA14+AC14</f>
        <v>100</v>
      </c>
      <c r="AE14" s="43">
        <f>AVERAGE(AD14:AD16)</f>
        <v>100</v>
      </c>
      <c r="AF14" s="43">
        <v>1</v>
      </c>
      <c r="AG14" s="43">
        <v>4</v>
      </c>
      <c r="AH14" s="46">
        <f>AF14*AG14</f>
        <v>4</v>
      </c>
      <c r="AI14" s="49" t="str">
        <f>IF(AND(AF14=1,AG14=1),"BAJO",IF(AND(AF14=1,AG14=2),"BAJO",IF(AND(AF14=2,AG14=1),"BAJO",IF(AND(AF14=2,AG14=2),"BAJO",IF(AND(AF14=3,AG14=1),"BAJO",IF(AND(AF14=1,AG14=3),"MODERADO",IF(AND(AF14=2,AG14=3),"MODERADO",IF(AND(AF14=3,AG14=2),"MODERADO",IF(AND(AF14=4,AG14=1),"MODERADO",IF(AND(AF14=5,AG14=1),"ALTO",IF(AND(AF14=4,AG14=2),"ALTO",IF(AND(AF14=3,AG14=3),"ALTO",IF(AND(AF14=2,AG14=4),"ALTO",IF(AND(AF14=1,AG14=4),"ALTO",IF(AND(AF14=5,AG14=2),"ALTO",IF(AND(AF14=4,AG14=3),"ALTO","EXTREMO"))))))))))))))))</f>
        <v>ALTO</v>
      </c>
      <c r="AJ14" s="52" t="s">
        <v>40</v>
      </c>
      <c r="AK14" s="78" t="s">
        <v>72</v>
      </c>
      <c r="AL14" s="43" t="s">
        <v>73</v>
      </c>
      <c r="AM14" s="78" t="s">
        <v>74</v>
      </c>
      <c r="AN14" s="43" t="s">
        <v>75</v>
      </c>
    </row>
    <row r="15" spans="1:40" ht="151.80000000000001" x14ac:dyDescent="0.3">
      <c r="A15" s="43"/>
      <c r="B15" s="58"/>
      <c r="C15" s="59"/>
      <c r="D15" s="59"/>
      <c r="E15" s="59"/>
      <c r="F15" s="71"/>
      <c r="G15" s="62"/>
      <c r="H15" s="43"/>
      <c r="I15" s="43"/>
      <c r="J15" s="46"/>
      <c r="K15" s="49"/>
      <c r="L15" s="25" t="s">
        <v>76</v>
      </c>
      <c r="M15" s="23" t="s">
        <v>0</v>
      </c>
      <c r="N15" s="24" t="s">
        <v>50</v>
      </c>
      <c r="O15" s="24" t="s">
        <v>52</v>
      </c>
      <c r="P15" s="18" t="s">
        <v>47</v>
      </c>
      <c r="Q15" s="27">
        <f>IF(P15="Asignado",[1]Listas!$C$30,[1]Listas!$C$31)</f>
        <v>15</v>
      </c>
      <c r="R15" s="18" t="s">
        <v>28</v>
      </c>
      <c r="S15" s="27">
        <f>IF(R15="Adecuado",[1]Listas!$C$32,[1]Listas!$C$33)</f>
        <v>15</v>
      </c>
      <c r="T15" s="18" t="s">
        <v>29</v>
      </c>
      <c r="U15" s="27">
        <f>IF(T15="Oportuna",[1]Listas!$C$34,[1]Listas!$C$35)</f>
        <v>15</v>
      </c>
      <c r="V15" s="18" t="s">
        <v>33</v>
      </c>
      <c r="W15" s="27">
        <f>IF(V15="Prevenir",[1]Listas!$C$36,IF(V15="Detectar",[1]Listas!$C$37,[1]Listas!$C$38))</f>
        <v>15</v>
      </c>
      <c r="X15" s="18" t="s">
        <v>30</v>
      </c>
      <c r="Y15" s="27">
        <f>IF(X15="Confiable",[1]Listas!$C$39,[1]Listas!$C$40)</f>
        <v>15</v>
      </c>
      <c r="Z15" s="18" t="s">
        <v>31</v>
      </c>
      <c r="AA15" s="27">
        <f>IF(Z15="Se investigan y resuelven oportunamente",[1]Listas!$C$41,[1]Listas!$C$42)</f>
        <v>15</v>
      </c>
      <c r="AB15" s="18" t="s">
        <v>32</v>
      </c>
      <c r="AC15" s="27">
        <f>IF(AB15="Completa",[1]Listas!$C$43,IF(AB15="Incompleta",[1]Listas!$C$44,[1]Listas!$C$45))</f>
        <v>10</v>
      </c>
      <c r="AD15" s="23">
        <f t="shared" ref="AD15:AD16" si="0">Q15+S15+U15+W15+Y15+AA15+AC15</f>
        <v>100</v>
      </c>
      <c r="AE15" s="43"/>
      <c r="AF15" s="43"/>
      <c r="AG15" s="43"/>
      <c r="AH15" s="46"/>
      <c r="AI15" s="49"/>
      <c r="AJ15" s="52"/>
      <c r="AK15" s="78"/>
      <c r="AL15" s="43"/>
      <c r="AM15" s="78"/>
      <c r="AN15" s="43"/>
    </row>
    <row r="16" spans="1:40" ht="87" customHeight="1" x14ac:dyDescent="0.3">
      <c r="A16" s="43"/>
      <c r="B16" s="58"/>
      <c r="C16" s="59"/>
      <c r="D16" s="59"/>
      <c r="E16" s="59"/>
      <c r="F16" s="71"/>
      <c r="G16" s="62"/>
      <c r="H16" s="43"/>
      <c r="I16" s="43"/>
      <c r="J16" s="46"/>
      <c r="K16" s="49"/>
      <c r="L16" s="25" t="s">
        <v>77</v>
      </c>
      <c r="M16" s="23" t="s">
        <v>0</v>
      </c>
      <c r="N16" s="24" t="s">
        <v>50</v>
      </c>
      <c r="O16" s="24" t="s">
        <v>52</v>
      </c>
      <c r="P16" s="18" t="s">
        <v>47</v>
      </c>
      <c r="Q16" s="27">
        <f>IF(P16="Asignado",[1]Listas!$C$30,[1]Listas!$C$31)</f>
        <v>15</v>
      </c>
      <c r="R16" s="18" t="s">
        <v>28</v>
      </c>
      <c r="S16" s="27">
        <f>IF(R16="Adecuado",[1]Listas!$C$32,[1]Listas!$C$33)</f>
        <v>15</v>
      </c>
      <c r="T16" s="18" t="s">
        <v>29</v>
      </c>
      <c r="U16" s="27">
        <f>IF(T16="Oportuna",[1]Listas!$C$34,[1]Listas!$C$35)</f>
        <v>15</v>
      </c>
      <c r="V16" s="18" t="s">
        <v>33</v>
      </c>
      <c r="W16" s="27">
        <f>IF(V16="Prevenir",[1]Listas!$C$36,IF(V16="Detectar",[1]Listas!$C$37,[1]Listas!$C$38))</f>
        <v>15</v>
      </c>
      <c r="X16" s="18" t="s">
        <v>30</v>
      </c>
      <c r="Y16" s="27">
        <f>IF(X16="Confiable",[1]Listas!$C$39,[1]Listas!$C$40)</f>
        <v>15</v>
      </c>
      <c r="Z16" s="18" t="s">
        <v>31</v>
      </c>
      <c r="AA16" s="27">
        <f>IF(Z16="Se investigan y resuelven oportunamente",[1]Listas!$C$41,[1]Listas!$C$42)</f>
        <v>15</v>
      </c>
      <c r="AB16" s="18" t="s">
        <v>32</v>
      </c>
      <c r="AC16" s="27">
        <f>IF(AB16="Completa",[1]Listas!$C$43,IF(AB16="Incompleta",[1]Listas!$C$44,[1]Listas!$C$45))</f>
        <v>10</v>
      </c>
      <c r="AD16" s="23">
        <f t="shared" si="0"/>
        <v>100</v>
      </c>
      <c r="AE16" s="43"/>
      <c r="AF16" s="43"/>
      <c r="AG16" s="43"/>
      <c r="AH16" s="46"/>
      <c r="AI16" s="49"/>
      <c r="AJ16" s="52"/>
      <c r="AK16" s="19" t="s">
        <v>78</v>
      </c>
      <c r="AL16" s="23" t="s">
        <v>79</v>
      </c>
      <c r="AM16" s="24" t="s">
        <v>74</v>
      </c>
      <c r="AN16" s="23" t="s">
        <v>80</v>
      </c>
    </row>
    <row r="17" spans="1:40" ht="57" customHeight="1" x14ac:dyDescent="0.3">
      <c r="A17" s="43">
        <v>3</v>
      </c>
      <c r="B17" s="58" t="s">
        <v>135</v>
      </c>
      <c r="C17" s="24" t="s">
        <v>20</v>
      </c>
      <c r="D17" s="24" t="s">
        <v>39</v>
      </c>
      <c r="E17" s="20" t="s">
        <v>81</v>
      </c>
      <c r="F17" s="75" t="s">
        <v>82</v>
      </c>
      <c r="G17" s="77" t="s">
        <v>83</v>
      </c>
      <c r="H17" s="43">
        <v>1</v>
      </c>
      <c r="I17" s="43">
        <v>5</v>
      </c>
      <c r="J17" s="46">
        <f>H17*I17</f>
        <v>5</v>
      </c>
      <c r="K17" s="49" t="str">
        <f>IF(AND(H17=1,I17=1),"BAJO",IF(AND(H17=1,I17=2),"BAJO",IF(AND(H17=2,I17=1),"BAJO",IF(AND(H17=2,I17=2),"BAJO",IF(AND(H17=3,I17=1),"BAJO",IF(AND(H17=1,I17=3),"MODERADO",IF(AND(H17=2,I17=3),"MODERADO",IF(AND(H17=3,I17=2),"MODERADO",IF(AND(H17=4,I17=1),"MODERADO",IF(AND(H17=5,I17=1),"ALTO",IF(AND(H17=4,I17=2),"ALTO",IF(AND(H17=3,I17=3),"ALTO",IF(AND(H17=2,I17=4),"ALTO",IF(AND(H17=1,I17=4),"ALTO",IF(AND(H17=5,I17=2),"ALTO",IF(AND(H17=4,I17=3),"ALTO","EXTREMO"))))))))))))))))</f>
        <v>EXTREMO</v>
      </c>
      <c r="L17" s="76" t="s">
        <v>84</v>
      </c>
      <c r="M17" s="43" t="s">
        <v>0</v>
      </c>
      <c r="N17" s="59" t="s">
        <v>50</v>
      </c>
      <c r="O17" s="59" t="s">
        <v>51</v>
      </c>
      <c r="P17" s="69" t="s">
        <v>47</v>
      </c>
      <c r="Q17" s="69">
        <f>IF(P17="Asignado",[2]Listas!$C$30,[2]Listas!$C$31)</f>
        <v>15</v>
      </c>
      <c r="R17" s="69" t="s">
        <v>28</v>
      </c>
      <c r="S17" s="69">
        <f>IF(R17="Adecuado",[2]Listas!$C$32,[2]Listas!$C$33)</f>
        <v>15</v>
      </c>
      <c r="T17" s="69" t="s">
        <v>29</v>
      </c>
      <c r="U17" s="69">
        <f>IF(T17="Oportuna",[2]Listas!$C$34,[2]Listas!$C$35)</f>
        <v>15</v>
      </c>
      <c r="V17" s="69" t="s">
        <v>33</v>
      </c>
      <c r="W17" s="69">
        <f>IF(V17="Prevenir",[2]Listas!$C$36,IF(V17="Detectar",[2]Listas!$C$37,[2]Listas!$C$38))</f>
        <v>15</v>
      </c>
      <c r="X17" s="69" t="s">
        <v>30</v>
      </c>
      <c r="Y17" s="69">
        <f>IF(X17="Confiable",[2]Listas!$C$39,[2]Listas!$C$40)</f>
        <v>15</v>
      </c>
      <c r="Z17" s="69" t="s">
        <v>31</v>
      </c>
      <c r="AA17" s="69">
        <f>IF(Z17="Se investigan y resuelven oportunamente",[2]Listas!$C$41,[2]Listas!$C$42)</f>
        <v>15</v>
      </c>
      <c r="AB17" s="69" t="s">
        <v>32</v>
      </c>
      <c r="AC17" s="69">
        <f>IF(AB17="Completa",[2]Listas!$C$43,IF(AB17="Incompleta",[2]Listas!$C$44,[2]Listas!$C$45))</f>
        <v>10</v>
      </c>
      <c r="AD17" s="43">
        <f>Q17+S17+U17+W17+Y17+AA17+AC17</f>
        <v>100</v>
      </c>
      <c r="AE17" s="43">
        <f>AVERAGE(AD17:AD18)</f>
        <v>100</v>
      </c>
      <c r="AF17" s="43">
        <v>1</v>
      </c>
      <c r="AG17" s="43">
        <v>3</v>
      </c>
      <c r="AH17" s="46">
        <f>AF17*AG17</f>
        <v>3</v>
      </c>
      <c r="AI17" s="49" t="str">
        <f>IF(AND(AF17=1,AG17=1),"BAJO",IF(AND(AF17=1,AG17=2),"BAJO",IF(AND(AF17=2,AG17=1),"BAJO",IF(AND(AF17=2,AG17=2),"BAJO",IF(AND(AF17=3,AG17=1),"BAJO",IF(AND(AF17=1,AG17=3),"MODERADO",IF(AND(AF17=2,AG17=3),"MODERADO",IF(AND(AF17=3,AG17=2),"MODERADO",IF(AND(AF17=4,AG17=1),"MODERADO",IF(AND(AF17=5,AG17=1),"ALTO",IF(AND(AF17=4,AG17=2),"ALTO",IF(AND(AF17=3,AG17=3),"ALTO",IF(AND(AF17=2,AG17=4),"ALTO",IF(AND(AF17=1,AG17=4),"ALTO",IF(AND(AF17=5,AG17=2),"ALTO",IF(AND(AF17=4,AG17=3),"ALTO","EXTREMO"))))))))))))))))</f>
        <v>MODERADO</v>
      </c>
      <c r="AJ17" s="52" t="s">
        <v>40</v>
      </c>
      <c r="AK17" s="52" t="s">
        <v>85</v>
      </c>
      <c r="AL17" s="52" t="s">
        <v>86</v>
      </c>
      <c r="AM17" s="52" t="s">
        <v>87</v>
      </c>
      <c r="AN17" s="43" t="s">
        <v>12</v>
      </c>
    </row>
    <row r="18" spans="1:40" ht="14.25" customHeight="1" x14ac:dyDescent="0.3">
      <c r="A18" s="43"/>
      <c r="B18" s="58"/>
      <c r="C18" s="24" t="s">
        <v>20</v>
      </c>
      <c r="D18" s="24" t="s">
        <v>39</v>
      </c>
      <c r="E18" s="20"/>
      <c r="F18" s="75"/>
      <c r="G18" s="77"/>
      <c r="H18" s="43"/>
      <c r="I18" s="43"/>
      <c r="J18" s="46"/>
      <c r="K18" s="49"/>
      <c r="L18" s="76"/>
      <c r="M18" s="43"/>
      <c r="N18" s="59"/>
      <c r="O18" s="59"/>
      <c r="P18" s="69"/>
      <c r="Q18" s="69"/>
      <c r="R18" s="69"/>
      <c r="S18" s="69"/>
      <c r="T18" s="69"/>
      <c r="U18" s="69"/>
      <c r="V18" s="69"/>
      <c r="W18" s="69"/>
      <c r="X18" s="69"/>
      <c r="Y18" s="69"/>
      <c r="Z18" s="69"/>
      <c r="AA18" s="69"/>
      <c r="AB18" s="69"/>
      <c r="AC18" s="69"/>
      <c r="AD18" s="43"/>
      <c r="AE18" s="43"/>
      <c r="AF18" s="43"/>
      <c r="AG18" s="43"/>
      <c r="AH18" s="46"/>
      <c r="AI18" s="49"/>
      <c r="AJ18" s="52"/>
      <c r="AK18" s="52"/>
      <c r="AL18" s="52"/>
      <c r="AM18" s="52"/>
      <c r="AN18" s="43"/>
    </row>
    <row r="19" spans="1:40" ht="69" x14ac:dyDescent="0.3">
      <c r="A19" s="43">
        <v>4</v>
      </c>
      <c r="B19" s="58" t="s">
        <v>125</v>
      </c>
      <c r="C19" s="24" t="s">
        <v>18</v>
      </c>
      <c r="D19" s="24"/>
      <c r="E19" s="20" t="s">
        <v>88</v>
      </c>
      <c r="F19" s="71" t="s">
        <v>89</v>
      </c>
      <c r="G19" s="77" t="s">
        <v>90</v>
      </c>
      <c r="H19" s="43">
        <v>1</v>
      </c>
      <c r="I19" s="43">
        <v>4</v>
      </c>
      <c r="J19" s="46">
        <f>H19*I19</f>
        <v>4</v>
      </c>
      <c r="K19" s="49" t="str">
        <f>IF(AND(H19=1,I19=1),"BAJO",IF(AND(H19=1,I19=2),"BAJO",IF(AND(H19=2,I19=1),"BAJO",IF(AND(H19=2,I19=2),"BAJO",IF(AND(H19=3,I19=1),"BAJO",IF(AND(H19=1,I19=3),"MODERADO",IF(AND(H19=2,I19=3),"MODERADO",IF(AND(H19=3,I19=2),"MODERADO",IF(AND(H19=4,I19=1),"MODERADO",IF(AND(H19=5,I19=1),"ALTO",IF(AND(H19=4,I19=2),"ALTO",IF(AND(H19=3,I19=3),"ALTO",IF(AND(H19=2,I19=4),"ALTO",IF(AND(H19=1,I19=4),"ALTO",IF(AND(H19=5,I19=2),"ALTO",IF(AND(H19=4,I19=3),"ALTO","EXTREMO"))))))))))))))))</f>
        <v>ALTO</v>
      </c>
      <c r="L19" s="76" t="s">
        <v>91</v>
      </c>
      <c r="M19" s="43" t="s">
        <v>0</v>
      </c>
      <c r="N19" s="59" t="s">
        <v>50</v>
      </c>
      <c r="O19" s="59" t="s">
        <v>52</v>
      </c>
      <c r="P19" s="69" t="s">
        <v>47</v>
      </c>
      <c r="Q19" s="69">
        <f>IF(P19="Asignado",[3]Listas!$C$30,[3]Listas!$C$31)</f>
        <v>15</v>
      </c>
      <c r="R19" s="69" t="s">
        <v>28</v>
      </c>
      <c r="S19" s="69">
        <f>IF(R19="Adecuado",[3]Listas!$C$32,[3]Listas!$C$33)</f>
        <v>15</v>
      </c>
      <c r="T19" s="69" t="s">
        <v>29</v>
      </c>
      <c r="U19" s="69">
        <f>IF(T19="Oportuna",[3]Listas!$C$34,[3]Listas!$C$35)</f>
        <v>15</v>
      </c>
      <c r="V19" s="69" t="s">
        <v>33</v>
      </c>
      <c r="W19" s="69">
        <f>IF(V19="Prevenir",[3]Listas!$C$36,IF(V19="Detectar",[3]Listas!$C$37,[3]Listas!$C$38))</f>
        <v>15</v>
      </c>
      <c r="X19" s="69" t="s">
        <v>30</v>
      </c>
      <c r="Y19" s="69">
        <f>IF(X19="Confiable",[3]Listas!$C$39,[3]Listas!$C$40)</f>
        <v>15</v>
      </c>
      <c r="Z19" s="69" t="s">
        <v>31</v>
      </c>
      <c r="AA19" s="69">
        <f>IF(Z19="Se investigan y resuelven oportunamente",[3]Listas!$C$41,[3]Listas!$C$42)</f>
        <v>15</v>
      </c>
      <c r="AB19" s="69" t="s">
        <v>32</v>
      </c>
      <c r="AC19" s="69">
        <f>IF(AB19="Completa",[3]Listas!$C$43,IF(AB19="Incompleta",[3]Listas!$C$44,[3]Listas!$C$45))</f>
        <v>10</v>
      </c>
      <c r="AD19" s="43">
        <f>Q19+S19+U19+W19+Y19+AA19+AC19</f>
        <v>100</v>
      </c>
      <c r="AE19" s="43">
        <f>AVERAGE(AD19:AD23)</f>
        <v>100</v>
      </c>
      <c r="AF19" s="43">
        <v>1</v>
      </c>
      <c r="AG19" s="43">
        <v>4</v>
      </c>
      <c r="AH19" s="46">
        <f>AF19*AG19</f>
        <v>4</v>
      </c>
      <c r="AI19" s="49" t="str">
        <f>IF(AND(AF19=1,AG19=1),"BAJO",IF(AND(AF19=1,AG19=2),"BAJO",IF(AND(AF19=2,AG19=1),"BAJO",IF(AND(AF19=2,AG19=2),"BAJO",IF(AND(AF19=3,AG19=1),"BAJO",IF(AND(AF19=1,AG19=3),"MODERADO",IF(AND(AF19=2,AG19=3),"MODERADO",IF(AND(AF19=3,AG19=2),"MODERADO",IF(AND(AF19=4,AG19=1),"MODERADO",IF(AND(AF19=5,AG19=1),"ALTO",IF(AND(AF19=4,AG19=2),"ALTO",IF(AND(AF19=3,AG19=3),"ALTO",IF(AND(AF19=2,AG19=4),"ALTO",IF(AND(AF19=1,AG19=4),"ALTO",IF(AND(AF19=5,AG19=2),"ALTO",IF(AND(AF19=4,AG19=3),"ALTO","EXTREMO"))))))))))))))))</f>
        <v>ALTO</v>
      </c>
      <c r="AJ19" s="52" t="s">
        <v>40</v>
      </c>
      <c r="AK19" s="52" t="s">
        <v>92</v>
      </c>
      <c r="AL19" s="59" t="s">
        <v>93</v>
      </c>
      <c r="AM19" s="59" t="s">
        <v>94</v>
      </c>
      <c r="AN19" s="59" t="s">
        <v>95</v>
      </c>
    </row>
    <row r="20" spans="1:40" ht="41.4" x14ac:dyDescent="0.3">
      <c r="A20" s="43"/>
      <c r="B20" s="58"/>
      <c r="C20" s="24" t="s">
        <v>19</v>
      </c>
      <c r="D20" s="24"/>
      <c r="E20" s="20" t="s">
        <v>96</v>
      </c>
      <c r="F20" s="71"/>
      <c r="G20" s="62"/>
      <c r="H20" s="43"/>
      <c r="I20" s="43"/>
      <c r="J20" s="46"/>
      <c r="K20" s="49"/>
      <c r="L20" s="59"/>
      <c r="M20" s="43"/>
      <c r="N20" s="59"/>
      <c r="O20" s="59"/>
      <c r="P20" s="69"/>
      <c r="Q20" s="69"/>
      <c r="R20" s="69"/>
      <c r="S20" s="69"/>
      <c r="T20" s="69"/>
      <c r="U20" s="69"/>
      <c r="V20" s="69"/>
      <c r="W20" s="69"/>
      <c r="X20" s="69"/>
      <c r="Y20" s="69"/>
      <c r="Z20" s="69"/>
      <c r="AA20" s="69"/>
      <c r="AB20" s="69"/>
      <c r="AC20" s="69"/>
      <c r="AD20" s="43"/>
      <c r="AE20" s="43"/>
      <c r="AF20" s="43"/>
      <c r="AG20" s="43"/>
      <c r="AH20" s="46"/>
      <c r="AI20" s="49"/>
      <c r="AJ20" s="52"/>
      <c r="AK20" s="52"/>
      <c r="AL20" s="43"/>
      <c r="AM20" s="43"/>
      <c r="AN20" s="59"/>
    </row>
    <row r="21" spans="1:40" ht="14.25" customHeight="1" x14ac:dyDescent="0.3">
      <c r="A21" s="43"/>
      <c r="B21" s="58"/>
      <c r="C21" s="59" t="s">
        <v>19</v>
      </c>
      <c r="D21" s="59"/>
      <c r="E21" s="76" t="s">
        <v>97</v>
      </c>
      <c r="F21" s="71"/>
      <c r="G21" s="62"/>
      <c r="H21" s="43"/>
      <c r="I21" s="43"/>
      <c r="J21" s="46"/>
      <c r="K21" s="49"/>
      <c r="L21" s="59"/>
      <c r="M21" s="43"/>
      <c r="N21" s="59"/>
      <c r="O21" s="59"/>
      <c r="P21" s="69"/>
      <c r="Q21" s="69"/>
      <c r="R21" s="69"/>
      <c r="S21" s="69"/>
      <c r="T21" s="69"/>
      <c r="U21" s="69"/>
      <c r="V21" s="69"/>
      <c r="W21" s="69"/>
      <c r="X21" s="69"/>
      <c r="Y21" s="69"/>
      <c r="Z21" s="69"/>
      <c r="AA21" s="69"/>
      <c r="AB21" s="69"/>
      <c r="AC21" s="69"/>
      <c r="AD21" s="43"/>
      <c r="AE21" s="43"/>
      <c r="AF21" s="43"/>
      <c r="AG21" s="43"/>
      <c r="AH21" s="46"/>
      <c r="AI21" s="49"/>
      <c r="AJ21" s="52"/>
      <c r="AK21" s="52"/>
      <c r="AL21" s="43"/>
      <c r="AM21" s="43"/>
      <c r="AN21" s="59"/>
    </row>
    <row r="22" spans="1:40" ht="14.25" customHeight="1" x14ac:dyDescent="0.3">
      <c r="A22" s="43"/>
      <c r="B22" s="58"/>
      <c r="C22" s="59"/>
      <c r="D22" s="59"/>
      <c r="E22" s="76"/>
      <c r="F22" s="71"/>
      <c r="G22" s="62"/>
      <c r="H22" s="43"/>
      <c r="I22" s="43"/>
      <c r="J22" s="46"/>
      <c r="K22" s="49"/>
      <c r="L22" s="59"/>
      <c r="M22" s="43"/>
      <c r="N22" s="59"/>
      <c r="O22" s="59"/>
      <c r="P22" s="69"/>
      <c r="Q22" s="69"/>
      <c r="R22" s="69"/>
      <c r="S22" s="69"/>
      <c r="T22" s="69"/>
      <c r="U22" s="69"/>
      <c r="V22" s="69"/>
      <c r="W22" s="69"/>
      <c r="X22" s="69"/>
      <c r="Y22" s="69"/>
      <c r="Z22" s="69"/>
      <c r="AA22" s="69"/>
      <c r="AB22" s="69"/>
      <c r="AC22" s="69"/>
      <c r="AD22" s="43"/>
      <c r="AE22" s="43"/>
      <c r="AF22" s="43"/>
      <c r="AG22" s="43"/>
      <c r="AH22" s="46"/>
      <c r="AI22" s="49"/>
      <c r="AJ22" s="52"/>
      <c r="AK22" s="52"/>
      <c r="AL22" s="43"/>
      <c r="AM22" s="43"/>
      <c r="AN22" s="59"/>
    </row>
    <row r="23" spans="1:40" ht="60" customHeight="1" x14ac:dyDescent="0.3">
      <c r="A23" s="43"/>
      <c r="B23" s="58"/>
      <c r="C23" s="59"/>
      <c r="D23" s="59"/>
      <c r="E23" s="76"/>
      <c r="F23" s="71"/>
      <c r="G23" s="62"/>
      <c r="H23" s="43"/>
      <c r="I23" s="43"/>
      <c r="J23" s="46"/>
      <c r="K23" s="49"/>
      <c r="L23" s="59"/>
      <c r="M23" s="43"/>
      <c r="N23" s="59"/>
      <c r="O23" s="59"/>
      <c r="P23" s="69"/>
      <c r="Q23" s="69"/>
      <c r="R23" s="69"/>
      <c r="S23" s="69"/>
      <c r="T23" s="69"/>
      <c r="U23" s="69"/>
      <c r="V23" s="69"/>
      <c r="W23" s="69"/>
      <c r="X23" s="69"/>
      <c r="Y23" s="69"/>
      <c r="Z23" s="69"/>
      <c r="AA23" s="69"/>
      <c r="AB23" s="69"/>
      <c r="AC23" s="69"/>
      <c r="AD23" s="43"/>
      <c r="AE23" s="43"/>
      <c r="AF23" s="43"/>
      <c r="AG23" s="43"/>
      <c r="AH23" s="46"/>
      <c r="AI23" s="49"/>
      <c r="AJ23" s="52"/>
      <c r="AK23" s="52"/>
      <c r="AL23" s="43"/>
      <c r="AM23" s="43"/>
      <c r="AN23" s="59"/>
    </row>
    <row r="24" spans="1:40" ht="14.25" customHeight="1" x14ac:dyDescent="0.3">
      <c r="A24" s="43">
        <v>5</v>
      </c>
      <c r="B24" s="58"/>
      <c r="C24" s="59" t="s">
        <v>19</v>
      </c>
      <c r="D24" s="59"/>
      <c r="E24" s="59" t="s">
        <v>98</v>
      </c>
      <c r="F24" s="69" t="s">
        <v>99</v>
      </c>
      <c r="G24" s="74" t="s">
        <v>100</v>
      </c>
      <c r="H24" s="43">
        <v>1</v>
      </c>
      <c r="I24" s="43">
        <v>4</v>
      </c>
      <c r="J24" s="46">
        <f t="shared" ref="J24:J29" si="1">H24*I24</f>
        <v>4</v>
      </c>
      <c r="K24" s="49" t="str">
        <f t="shared" ref="K24:K29" si="2">IF(AND(H24=1,I24=1),"BAJO",IF(AND(H24=1,I24=2),"BAJO",IF(AND(H24=2,I24=1),"BAJO",IF(AND(H24=2,I24=2),"BAJO",IF(AND(H24=3,I24=1),"BAJO",IF(AND(H24=1,I24=3),"MODERADO",IF(AND(H24=2,I24=3),"MODERADO",IF(AND(H24=3,I24=2),"MODERADO",IF(AND(H24=4,I24=1),"MODERADO",IF(AND(H24=5,I24=1),"ALTO",IF(AND(H24=4,I24=2),"ALTO",IF(AND(H24=3,I24=3),"ALTO",IF(AND(H24=2,I24=4),"ALTO",IF(AND(H24=1,I24=4),"ALTO",IF(AND(H24=5,I24=2),"ALTO",IF(AND(H24=4,I24=3),"ALTO","EXTREMO"))))))))))))))))</f>
        <v>ALTO</v>
      </c>
      <c r="L24" s="76" t="s">
        <v>101</v>
      </c>
      <c r="M24" s="43" t="s">
        <v>0</v>
      </c>
      <c r="N24" s="59" t="s">
        <v>50</v>
      </c>
      <c r="O24" s="59" t="s">
        <v>52</v>
      </c>
      <c r="P24" s="69" t="s">
        <v>47</v>
      </c>
      <c r="Q24" s="69">
        <f>IF(P24="Asignado",[3]Listas!$C$30,[3]Listas!$C$31)</f>
        <v>15</v>
      </c>
      <c r="R24" s="69" t="s">
        <v>28</v>
      </c>
      <c r="S24" s="69">
        <f>IF(R24="Adecuado",[3]Listas!$C$32,[3]Listas!$C$33)</f>
        <v>15</v>
      </c>
      <c r="T24" s="69" t="s">
        <v>29</v>
      </c>
      <c r="U24" s="69">
        <f>IF(T24="Oportuna",[3]Listas!$C$34,[3]Listas!$C$35)</f>
        <v>15</v>
      </c>
      <c r="V24" s="69" t="s">
        <v>33</v>
      </c>
      <c r="W24" s="69">
        <f>IF(V24="Prevenir",[3]Listas!$C$36,IF(V24="Detectar",[3]Listas!$C$37,[3]Listas!$C$38))</f>
        <v>15</v>
      </c>
      <c r="X24" s="69" t="s">
        <v>30</v>
      </c>
      <c r="Y24" s="69">
        <f>IF(X24="Confiable",[3]Listas!$C$39,[3]Listas!$C$40)</f>
        <v>15</v>
      </c>
      <c r="Z24" s="69" t="s">
        <v>31</v>
      </c>
      <c r="AA24" s="69">
        <f>IF(Z24="Se investigan y resuelven oportunamente",[3]Listas!$C$41,[3]Listas!$C$42)</f>
        <v>15</v>
      </c>
      <c r="AB24" s="69" t="s">
        <v>32</v>
      </c>
      <c r="AC24" s="69">
        <f>IF(AB24="Completa",[3]Listas!$C$43,IF(AB24="Incompleta",[3]Listas!$C$44,[3]Listas!$C$45))</f>
        <v>10</v>
      </c>
      <c r="AD24" s="43">
        <f t="shared" ref="AD24:AD29" si="3">Q24+S24+U24+W24+Y24+AA24+AC24</f>
        <v>100</v>
      </c>
      <c r="AE24" s="43">
        <f>AVERAGE(AD24:AD28)</f>
        <v>100</v>
      </c>
      <c r="AF24" s="43">
        <v>1</v>
      </c>
      <c r="AG24" s="43">
        <v>4</v>
      </c>
      <c r="AH24" s="46">
        <f>+AF24*AG24</f>
        <v>4</v>
      </c>
      <c r="AI24" s="49" t="str">
        <f t="shared" ref="AI24:AI29" si="4">IF(AND(AF24=1,AG24=1),"BAJO",IF(AND(AF24=1,AG24=2),"BAJO",IF(AND(AF24=2,AG24=1),"BAJO",IF(AND(AF24=2,AG24=2),"BAJO",IF(AND(AF24=3,AG24=1),"BAJO",IF(AND(AF24=1,AG24=3),"MODERADO",IF(AND(AF24=2,AG24=3),"MODERADO",IF(AND(AF24=3,AG24=2),"MODERADO",IF(AND(AF24=4,AG24=1),"MODERADO",IF(AND(AF24=5,AG24=1),"ALTO",IF(AND(AF24=4,AG24=2),"ALTO",IF(AND(AF24=3,AG24=3),"ALTO",IF(AND(AF24=2,AG24=4),"ALTO",IF(AND(AF24=1,AG24=4),"ALTO",IF(AND(AF24=5,AG24=2),"ALTO",IF(AND(AF24=4,AG24=3),"ALTO","EXTREMO"))))))))))))))))</f>
        <v>ALTO</v>
      </c>
      <c r="AJ24" s="69" t="s">
        <v>40</v>
      </c>
      <c r="AK24" s="52" t="s">
        <v>102</v>
      </c>
      <c r="AL24" s="59" t="s">
        <v>103</v>
      </c>
      <c r="AM24" s="59" t="s">
        <v>104</v>
      </c>
      <c r="AN24" s="59" t="s">
        <v>105</v>
      </c>
    </row>
    <row r="25" spans="1:40" ht="14.25" customHeight="1" x14ac:dyDescent="0.3">
      <c r="A25" s="43"/>
      <c r="B25" s="58"/>
      <c r="C25" s="59"/>
      <c r="D25" s="59"/>
      <c r="E25" s="59"/>
      <c r="F25" s="69"/>
      <c r="G25" s="74"/>
      <c r="H25" s="43"/>
      <c r="I25" s="43"/>
      <c r="J25" s="46"/>
      <c r="K25" s="49"/>
      <c r="L25" s="76"/>
      <c r="M25" s="43"/>
      <c r="N25" s="59"/>
      <c r="O25" s="59"/>
      <c r="P25" s="69"/>
      <c r="Q25" s="69"/>
      <c r="R25" s="69"/>
      <c r="S25" s="69"/>
      <c r="T25" s="69"/>
      <c r="U25" s="69"/>
      <c r="V25" s="69"/>
      <c r="W25" s="69"/>
      <c r="X25" s="69"/>
      <c r="Y25" s="69"/>
      <c r="Z25" s="69"/>
      <c r="AA25" s="69"/>
      <c r="AB25" s="69"/>
      <c r="AC25" s="69"/>
      <c r="AD25" s="43"/>
      <c r="AE25" s="43"/>
      <c r="AF25" s="43"/>
      <c r="AG25" s="43"/>
      <c r="AH25" s="46"/>
      <c r="AI25" s="49"/>
      <c r="AJ25" s="69"/>
      <c r="AK25" s="52"/>
      <c r="AL25" s="59"/>
      <c r="AM25" s="59"/>
      <c r="AN25" s="59"/>
    </row>
    <row r="26" spans="1:40" ht="14.25" customHeight="1" x14ac:dyDescent="0.3">
      <c r="A26" s="43"/>
      <c r="B26" s="58"/>
      <c r="C26" s="59"/>
      <c r="D26" s="59"/>
      <c r="E26" s="59"/>
      <c r="F26" s="69"/>
      <c r="G26" s="74"/>
      <c r="H26" s="43"/>
      <c r="I26" s="43"/>
      <c r="J26" s="46"/>
      <c r="K26" s="49"/>
      <c r="L26" s="76"/>
      <c r="M26" s="43"/>
      <c r="N26" s="59"/>
      <c r="O26" s="59"/>
      <c r="P26" s="69"/>
      <c r="Q26" s="69"/>
      <c r="R26" s="69"/>
      <c r="S26" s="69"/>
      <c r="T26" s="69"/>
      <c r="U26" s="69"/>
      <c r="V26" s="69"/>
      <c r="W26" s="69"/>
      <c r="X26" s="69"/>
      <c r="Y26" s="69"/>
      <c r="Z26" s="69"/>
      <c r="AA26" s="69"/>
      <c r="AB26" s="69"/>
      <c r="AC26" s="69"/>
      <c r="AD26" s="43"/>
      <c r="AE26" s="43"/>
      <c r="AF26" s="43"/>
      <c r="AG26" s="43"/>
      <c r="AH26" s="46"/>
      <c r="AI26" s="49"/>
      <c r="AJ26" s="69"/>
      <c r="AK26" s="52"/>
      <c r="AL26" s="59"/>
      <c r="AM26" s="59"/>
      <c r="AN26" s="59"/>
    </row>
    <row r="27" spans="1:40" ht="14.25" customHeight="1" x14ac:dyDescent="0.3">
      <c r="A27" s="43"/>
      <c r="B27" s="58"/>
      <c r="C27" s="59"/>
      <c r="D27" s="59"/>
      <c r="E27" s="59"/>
      <c r="F27" s="69"/>
      <c r="G27" s="74"/>
      <c r="H27" s="43"/>
      <c r="I27" s="43"/>
      <c r="J27" s="46"/>
      <c r="K27" s="49"/>
      <c r="L27" s="76"/>
      <c r="M27" s="43"/>
      <c r="N27" s="59"/>
      <c r="O27" s="59"/>
      <c r="P27" s="69"/>
      <c r="Q27" s="69"/>
      <c r="R27" s="69"/>
      <c r="S27" s="69"/>
      <c r="T27" s="69"/>
      <c r="U27" s="69"/>
      <c r="V27" s="69"/>
      <c r="W27" s="69"/>
      <c r="X27" s="69"/>
      <c r="Y27" s="69"/>
      <c r="Z27" s="69"/>
      <c r="AA27" s="69"/>
      <c r="AB27" s="69"/>
      <c r="AC27" s="69"/>
      <c r="AD27" s="43"/>
      <c r="AE27" s="43"/>
      <c r="AF27" s="43"/>
      <c r="AG27" s="43"/>
      <c r="AH27" s="46"/>
      <c r="AI27" s="49"/>
      <c r="AJ27" s="69"/>
      <c r="AK27" s="52"/>
      <c r="AL27" s="59"/>
      <c r="AM27" s="59"/>
      <c r="AN27" s="59"/>
    </row>
    <row r="28" spans="1:40" ht="29.25" customHeight="1" x14ac:dyDescent="0.3">
      <c r="A28" s="43"/>
      <c r="B28" s="58"/>
      <c r="C28" s="59"/>
      <c r="D28" s="59"/>
      <c r="E28" s="59"/>
      <c r="F28" s="69"/>
      <c r="G28" s="74"/>
      <c r="H28" s="43"/>
      <c r="I28" s="43"/>
      <c r="J28" s="46"/>
      <c r="K28" s="49"/>
      <c r="L28" s="76"/>
      <c r="M28" s="43"/>
      <c r="N28" s="59"/>
      <c r="O28" s="59"/>
      <c r="P28" s="69"/>
      <c r="Q28" s="69"/>
      <c r="R28" s="69"/>
      <c r="S28" s="69"/>
      <c r="T28" s="69"/>
      <c r="U28" s="69"/>
      <c r="V28" s="69"/>
      <c r="W28" s="69"/>
      <c r="X28" s="69"/>
      <c r="Y28" s="69"/>
      <c r="Z28" s="69"/>
      <c r="AA28" s="69"/>
      <c r="AB28" s="69"/>
      <c r="AC28" s="69"/>
      <c r="AD28" s="43"/>
      <c r="AE28" s="43"/>
      <c r="AF28" s="43"/>
      <c r="AG28" s="43"/>
      <c r="AH28" s="46"/>
      <c r="AI28" s="49"/>
      <c r="AJ28" s="69"/>
      <c r="AK28" s="52"/>
      <c r="AL28" s="59"/>
      <c r="AM28" s="59"/>
      <c r="AN28" s="59"/>
    </row>
    <row r="29" spans="1:40" ht="41.4" x14ac:dyDescent="0.3">
      <c r="A29" s="43">
        <v>6</v>
      </c>
      <c r="B29" s="58"/>
      <c r="C29" s="24" t="s">
        <v>19</v>
      </c>
      <c r="D29" s="59"/>
      <c r="E29" s="25" t="s">
        <v>106</v>
      </c>
      <c r="F29" s="69" t="s">
        <v>107</v>
      </c>
      <c r="G29" s="73" t="s">
        <v>90</v>
      </c>
      <c r="H29" s="43">
        <v>1</v>
      </c>
      <c r="I29" s="43">
        <v>4</v>
      </c>
      <c r="J29" s="46">
        <f t="shared" si="1"/>
        <v>4</v>
      </c>
      <c r="K29" s="49" t="str">
        <f t="shared" si="2"/>
        <v>ALTO</v>
      </c>
      <c r="L29" s="75" t="s">
        <v>108</v>
      </c>
      <c r="M29" s="43" t="s">
        <v>0</v>
      </c>
      <c r="N29" s="59" t="s">
        <v>50</v>
      </c>
      <c r="O29" s="59" t="s">
        <v>52</v>
      </c>
      <c r="P29" s="69" t="s">
        <v>47</v>
      </c>
      <c r="Q29" s="69">
        <f>IF(P29="Asignado",[3]Listas!$C$30,[3]Listas!$C$31)</f>
        <v>15</v>
      </c>
      <c r="R29" s="69" t="s">
        <v>28</v>
      </c>
      <c r="S29" s="69">
        <f>IF(R29="Adecuado",[3]Listas!$C$32,[3]Listas!$C$33)</f>
        <v>15</v>
      </c>
      <c r="T29" s="69" t="s">
        <v>29</v>
      </c>
      <c r="U29" s="69">
        <f>IF(T29="Oportuna",[3]Listas!$C$34,[3]Listas!$C$35)</f>
        <v>15</v>
      </c>
      <c r="V29" s="69" t="s">
        <v>33</v>
      </c>
      <c r="W29" s="69">
        <f>IF(V29="Prevenir",[3]Listas!$C$36,IF(V29="Detectar",[3]Listas!$C$37,[3]Listas!$C$38))</f>
        <v>15</v>
      </c>
      <c r="X29" s="69" t="s">
        <v>30</v>
      </c>
      <c r="Y29" s="69">
        <f>IF(X29="Confiable",[3]Listas!$C$39,[3]Listas!$C$40)</f>
        <v>15</v>
      </c>
      <c r="Z29" s="69" t="s">
        <v>31</v>
      </c>
      <c r="AA29" s="69">
        <f>IF(Z29="Se investigan y resuelven oportunamente",[3]Listas!$C$41,[3]Listas!$C$42)</f>
        <v>15</v>
      </c>
      <c r="AB29" s="69" t="s">
        <v>32</v>
      </c>
      <c r="AC29" s="69">
        <f>IF(AB29="Completa",[3]Listas!$C$43,IF(AB29="Incompleta",[3]Listas!$C$44,[3]Listas!$C$45))</f>
        <v>10</v>
      </c>
      <c r="AD29" s="43">
        <f t="shared" si="3"/>
        <v>100</v>
      </c>
      <c r="AE29" s="43">
        <f>AVERAGE(AD29:AD33)</f>
        <v>100</v>
      </c>
      <c r="AF29" s="43">
        <v>1</v>
      </c>
      <c r="AG29" s="43">
        <v>4</v>
      </c>
      <c r="AH29" s="46">
        <f t="shared" ref="AH29" si="5">AF29*AG29</f>
        <v>4</v>
      </c>
      <c r="AI29" s="49" t="str">
        <f t="shared" si="4"/>
        <v>ALTO</v>
      </c>
      <c r="AJ29" s="69" t="s">
        <v>40</v>
      </c>
      <c r="AK29" s="52" t="s">
        <v>109</v>
      </c>
      <c r="AL29" s="59" t="s">
        <v>109</v>
      </c>
      <c r="AM29" s="59" t="s">
        <v>110</v>
      </c>
      <c r="AN29" s="59" t="s">
        <v>111</v>
      </c>
    </row>
    <row r="30" spans="1:40" ht="27.6" x14ac:dyDescent="0.3">
      <c r="A30" s="43"/>
      <c r="B30" s="58"/>
      <c r="C30" s="24" t="s">
        <v>19</v>
      </c>
      <c r="D30" s="59"/>
      <c r="E30" s="26" t="s">
        <v>112</v>
      </c>
      <c r="F30" s="69"/>
      <c r="G30" s="74"/>
      <c r="H30" s="43"/>
      <c r="I30" s="43"/>
      <c r="J30" s="46"/>
      <c r="K30" s="49"/>
      <c r="L30" s="71"/>
      <c r="M30" s="43"/>
      <c r="N30" s="59"/>
      <c r="O30" s="59"/>
      <c r="P30" s="69"/>
      <c r="Q30" s="69"/>
      <c r="R30" s="69"/>
      <c r="S30" s="69"/>
      <c r="T30" s="69"/>
      <c r="U30" s="69"/>
      <c r="V30" s="69"/>
      <c r="W30" s="69"/>
      <c r="X30" s="69"/>
      <c r="Y30" s="69"/>
      <c r="Z30" s="69"/>
      <c r="AA30" s="69"/>
      <c r="AB30" s="69"/>
      <c r="AC30" s="69"/>
      <c r="AD30" s="43"/>
      <c r="AE30" s="43"/>
      <c r="AF30" s="43"/>
      <c r="AG30" s="43"/>
      <c r="AH30" s="46"/>
      <c r="AI30" s="49"/>
      <c r="AJ30" s="69"/>
      <c r="AK30" s="52"/>
      <c r="AL30" s="59"/>
      <c r="AM30" s="59"/>
      <c r="AN30" s="59"/>
    </row>
    <row r="31" spans="1:40" ht="14.25" customHeight="1" x14ac:dyDescent="0.3">
      <c r="A31" s="43"/>
      <c r="B31" s="58"/>
      <c r="C31" s="59" t="s">
        <v>19</v>
      </c>
      <c r="D31" s="59"/>
      <c r="E31" s="59" t="s">
        <v>113</v>
      </c>
      <c r="F31" s="69"/>
      <c r="G31" s="74"/>
      <c r="H31" s="43"/>
      <c r="I31" s="43"/>
      <c r="J31" s="46"/>
      <c r="K31" s="49"/>
      <c r="L31" s="71"/>
      <c r="M31" s="43"/>
      <c r="N31" s="59"/>
      <c r="O31" s="59"/>
      <c r="P31" s="69"/>
      <c r="Q31" s="69"/>
      <c r="R31" s="69"/>
      <c r="S31" s="69"/>
      <c r="T31" s="69"/>
      <c r="U31" s="69"/>
      <c r="V31" s="69"/>
      <c r="W31" s="69"/>
      <c r="X31" s="69"/>
      <c r="Y31" s="69"/>
      <c r="Z31" s="69"/>
      <c r="AA31" s="69"/>
      <c r="AB31" s="69"/>
      <c r="AC31" s="69"/>
      <c r="AD31" s="43"/>
      <c r="AE31" s="43"/>
      <c r="AF31" s="43"/>
      <c r="AG31" s="43"/>
      <c r="AH31" s="46"/>
      <c r="AI31" s="49"/>
      <c r="AJ31" s="69"/>
      <c r="AK31" s="52"/>
      <c r="AL31" s="59"/>
      <c r="AM31" s="59"/>
      <c r="AN31" s="59"/>
    </row>
    <row r="32" spans="1:40" ht="14.25" customHeight="1" x14ac:dyDescent="0.3">
      <c r="A32" s="43"/>
      <c r="B32" s="58"/>
      <c r="C32" s="59"/>
      <c r="D32" s="59"/>
      <c r="E32" s="59"/>
      <c r="F32" s="69"/>
      <c r="G32" s="74"/>
      <c r="H32" s="43"/>
      <c r="I32" s="43"/>
      <c r="J32" s="46"/>
      <c r="K32" s="49"/>
      <c r="L32" s="71"/>
      <c r="M32" s="43"/>
      <c r="N32" s="59"/>
      <c r="O32" s="59"/>
      <c r="P32" s="69"/>
      <c r="Q32" s="69"/>
      <c r="R32" s="69"/>
      <c r="S32" s="69"/>
      <c r="T32" s="69"/>
      <c r="U32" s="69"/>
      <c r="V32" s="69"/>
      <c r="W32" s="69"/>
      <c r="X32" s="69"/>
      <c r="Y32" s="69"/>
      <c r="Z32" s="69"/>
      <c r="AA32" s="69"/>
      <c r="AB32" s="69"/>
      <c r="AC32" s="69"/>
      <c r="AD32" s="43"/>
      <c r="AE32" s="43"/>
      <c r="AF32" s="43"/>
      <c r="AG32" s="43"/>
      <c r="AH32" s="46"/>
      <c r="AI32" s="49"/>
      <c r="AJ32" s="69"/>
      <c r="AK32" s="52"/>
      <c r="AL32" s="59"/>
      <c r="AM32" s="59"/>
      <c r="AN32" s="59"/>
    </row>
    <row r="33" spans="1:40" ht="14.25" customHeight="1" x14ac:dyDescent="0.3">
      <c r="A33" s="43"/>
      <c r="B33" s="58"/>
      <c r="C33" s="59"/>
      <c r="D33" s="59"/>
      <c r="E33" s="59"/>
      <c r="F33" s="69"/>
      <c r="G33" s="74"/>
      <c r="H33" s="43"/>
      <c r="I33" s="43"/>
      <c r="J33" s="46"/>
      <c r="K33" s="49"/>
      <c r="L33" s="71"/>
      <c r="M33" s="43"/>
      <c r="N33" s="59"/>
      <c r="O33" s="59"/>
      <c r="P33" s="69"/>
      <c r="Q33" s="69"/>
      <c r="R33" s="69"/>
      <c r="S33" s="69"/>
      <c r="T33" s="69"/>
      <c r="U33" s="69"/>
      <c r="V33" s="69"/>
      <c r="W33" s="69"/>
      <c r="X33" s="69"/>
      <c r="Y33" s="69"/>
      <c r="Z33" s="69"/>
      <c r="AA33" s="69"/>
      <c r="AB33" s="69"/>
      <c r="AC33" s="69"/>
      <c r="AD33" s="43"/>
      <c r="AE33" s="43"/>
      <c r="AF33" s="43"/>
      <c r="AG33" s="43"/>
      <c r="AH33" s="46"/>
      <c r="AI33" s="49"/>
      <c r="AJ33" s="69"/>
      <c r="AK33" s="52"/>
      <c r="AL33" s="59"/>
      <c r="AM33" s="59"/>
      <c r="AN33" s="59"/>
    </row>
    <row r="34" spans="1:40" ht="14.25" customHeight="1" x14ac:dyDescent="0.3">
      <c r="A34" s="43">
        <v>7</v>
      </c>
      <c r="B34" s="58" t="s">
        <v>126</v>
      </c>
      <c r="C34" s="59" t="s">
        <v>19</v>
      </c>
      <c r="D34" s="59" t="s">
        <v>48</v>
      </c>
      <c r="E34" s="59" t="s">
        <v>114</v>
      </c>
      <c r="F34" s="71" t="s">
        <v>115</v>
      </c>
      <c r="G34" s="69" t="s">
        <v>116</v>
      </c>
      <c r="H34" s="43">
        <v>1</v>
      </c>
      <c r="I34" s="43">
        <v>3</v>
      </c>
      <c r="J34" s="46">
        <f>H34*I34</f>
        <v>3</v>
      </c>
      <c r="K34" s="49" t="str">
        <f>IF(AND(H34=1,I34=1),"BAJO",IF(AND(H34=1,I34=2),"BAJO",IF(AND(H34=2,I34=1),"BAJO",IF(AND(H34=2,I34=2),"BAJO",IF(AND(H34=3,I34=1),"BAJO",IF(AND(H34=1,I34=3),"MODERADO",IF(AND(H34=2,I34=3),"MODERADO",IF(AND(H34=3,I34=2),"MODERADO",IF(AND(H34=4,I34=1),"MODERADO",IF(AND(H34=5,I34=1),"ALTO",IF(AND(H34=4,I34=2),"ALTO",IF(AND(H34=3,I34=3),"ALTO",IF(AND(H34=2,I34=4),"ALTO",IF(AND(H34=1,I34=4),"ALTO",IF(AND(H34=5,I34=2),"ALTO",IF(AND(H34=4,I34=3),"ALTO","EXTREMO"))))))))))))))))</f>
        <v>MODERADO</v>
      </c>
      <c r="L34" s="59" t="s">
        <v>117</v>
      </c>
      <c r="M34" s="43" t="s">
        <v>0</v>
      </c>
      <c r="N34" s="59" t="s">
        <v>50</v>
      </c>
      <c r="O34" s="59" t="s">
        <v>50</v>
      </c>
      <c r="P34" s="69" t="s">
        <v>47</v>
      </c>
      <c r="Q34" s="69">
        <f>IF(P34="Asignado",[4]Listas!$C$30,[4]Listas!$C$31)</f>
        <v>15</v>
      </c>
      <c r="R34" s="69" t="s">
        <v>28</v>
      </c>
      <c r="S34" s="69">
        <f>IF(R34="Adecuado",[4]Listas!$C$32,[4]Listas!$C$33)</f>
        <v>15</v>
      </c>
      <c r="T34" s="69" t="s">
        <v>29</v>
      </c>
      <c r="U34" s="69">
        <f>IF(T34="Oportuna",[4]Listas!$C$34,[4]Listas!$C$35)</f>
        <v>15</v>
      </c>
      <c r="V34" s="69" t="s">
        <v>33</v>
      </c>
      <c r="W34" s="69">
        <f>IF(V34="Prevenir",[4]Listas!$C$36,IF(V34="Detectar",[4]Listas!$C$37,[4]Listas!$C$38))</f>
        <v>15</v>
      </c>
      <c r="X34" s="69" t="s">
        <v>30</v>
      </c>
      <c r="Y34" s="69">
        <f>IF(X34="Confiable",[4]Listas!$C$39,[4]Listas!$C$40)</f>
        <v>15</v>
      </c>
      <c r="Z34" s="69" t="s">
        <v>31</v>
      </c>
      <c r="AA34" s="69">
        <f>IF(Z34="Se investigan y resuelven oportunamente",[4]Listas!$C$41,[4]Listas!$C$42)</f>
        <v>15</v>
      </c>
      <c r="AB34" s="69" t="s">
        <v>32</v>
      </c>
      <c r="AC34" s="69">
        <f>IF(AB34="Completa",[4]Listas!$C$43,IF(AB34="Incompleta",[4]Listas!$C$44,[4]Listas!$C$45))</f>
        <v>10</v>
      </c>
      <c r="AD34" s="43">
        <f>Q34+S34+U34+W34+Y34+AA34+AC34</f>
        <v>100</v>
      </c>
      <c r="AE34" s="43">
        <f>AVERAGE(AD34:AD38)</f>
        <v>100</v>
      </c>
      <c r="AF34" s="43">
        <v>1</v>
      </c>
      <c r="AG34" s="43">
        <v>3</v>
      </c>
      <c r="AH34" s="46">
        <f>AF34*AG34</f>
        <v>3</v>
      </c>
      <c r="AI34" s="49" t="str">
        <f>IF(AND(AF34=1,AG34=1),"BAJO",IF(AND(AF34=1,AG34=2),"BAJO",IF(AND(AF34=2,AG34=1),"BAJO",IF(AND(AF34=2,AG34=2),"BAJO",IF(AND(AF34=3,AG34=1),"BAJO",IF(AND(AF34=1,AG34=3),"MODERADO",IF(AND(AF34=2,AG34=3),"MODERADO",IF(AND(AF34=3,AG34=2),"MODERADO",IF(AND(AF34=4,AG34=1),"MODERADO",IF(AND(AF34=5,AG34=1),"ALTO",IF(AND(AF34=4,AG34=2),"ALTO",IF(AND(AF34=3,AG34=3),"ALTO",IF(AND(AF34=2,AG34=4),"ALTO",IF(AND(AF34=1,AG34=4),"ALTO",IF(AND(AF34=5,AG34=2),"ALTO",IF(AND(AF34=4,AG34=3),"ALTO","EXTREMO"))))))))))))))))</f>
        <v>MODERADO</v>
      </c>
      <c r="AJ34" s="59" t="s">
        <v>40</v>
      </c>
      <c r="AK34" s="59" t="s">
        <v>118</v>
      </c>
      <c r="AL34" s="59" t="s">
        <v>119</v>
      </c>
      <c r="AM34" s="59" t="s">
        <v>120</v>
      </c>
      <c r="AN34" s="59" t="s">
        <v>121</v>
      </c>
    </row>
    <row r="35" spans="1:40" ht="14.25" customHeight="1" x14ac:dyDescent="0.3">
      <c r="A35" s="43"/>
      <c r="B35" s="58"/>
      <c r="C35" s="59"/>
      <c r="D35" s="59"/>
      <c r="E35" s="59"/>
      <c r="F35" s="71"/>
      <c r="G35" s="69"/>
      <c r="H35" s="43"/>
      <c r="I35" s="43"/>
      <c r="J35" s="46"/>
      <c r="K35" s="49"/>
      <c r="L35" s="59"/>
      <c r="M35" s="43"/>
      <c r="N35" s="59"/>
      <c r="O35" s="59"/>
      <c r="P35" s="69"/>
      <c r="Q35" s="69"/>
      <c r="R35" s="69"/>
      <c r="S35" s="69"/>
      <c r="T35" s="69"/>
      <c r="U35" s="69"/>
      <c r="V35" s="69"/>
      <c r="W35" s="69"/>
      <c r="X35" s="69"/>
      <c r="Y35" s="69"/>
      <c r="Z35" s="69"/>
      <c r="AA35" s="69"/>
      <c r="AB35" s="69"/>
      <c r="AC35" s="69"/>
      <c r="AD35" s="43"/>
      <c r="AE35" s="43"/>
      <c r="AF35" s="43"/>
      <c r="AG35" s="43"/>
      <c r="AH35" s="46"/>
      <c r="AI35" s="49"/>
      <c r="AJ35" s="59"/>
      <c r="AK35" s="59"/>
      <c r="AL35" s="59"/>
      <c r="AM35" s="59"/>
      <c r="AN35" s="59"/>
    </row>
    <row r="36" spans="1:40" ht="14.25" customHeight="1" x14ac:dyDescent="0.3">
      <c r="A36" s="43"/>
      <c r="B36" s="58"/>
      <c r="C36" s="59"/>
      <c r="D36" s="59"/>
      <c r="E36" s="59"/>
      <c r="F36" s="71"/>
      <c r="G36" s="69"/>
      <c r="H36" s="43"/>
      <c r="I36" s="43"/>
      <c r="J36" s="46"/>
      <c r="K36" s="49"/>
      <c r="L36" s="59"/>
      <c r="M36" s="43"/>
      <c r="N36" s="59"/>
      <c r="O36" s="59"/>
      <c r="P36" s="69"/>
      <c r="Q36" s="69"/>
      <c r="R36" s="69"/>
      <c r="S36" s="69"/>
      <c r="T36" s="69"/>
      <c r="U36" s="69"/>
      <c r="V36" s="69"/>
      <c r="W36" s="69"/>
      <c r="X36" s="69"/>
      <c r="Y36" s="69"/>
      <c r="Z36" s="69"/>
      <c r="AA36" s="69"/>
      <c r="AB36" s="69"/>
      <c r="AC36" s="69"/>
      <c r="AD36" s="43"/>
      <c r="AE36" s="43"/>
      <c r="AF36" s="43"/>
      <c r="AG36" s="43"/>
      <c r="AH36" s="46"/>
      <c r="AI36" s="49"/>
      <c r="AJ36" s="59"/>
      <c r="AK36" s="59"/>
      <c r="AL36" s="59"/>
      <c r="AM36" s="59"/>
      <c r="AN36" s="59"/>
    </row>
    <row r="37" spans="1:40" ht="14.25" customHeight="1" x14ac:dyDescent="0.3">
      <c r="A37" s="43"/>
      <c r="B37" s="58"/>
      <c r="C37" s="59"/>
      <c r="D37" s="59"/>
      <c r="E37" s="59"/>
      <c r="F37" s="71"/>
      <c r="G37" s="69"/>
      <c r="H37" s="43"/>
      <c r="I37" s="43"/>
      <c r="J37" s="46"/>
      <c r="K37" s="49"/>
      <c r="L37" s="59"/>
      <c r="M37" s="43"/>
      <c r="N37" s="59"/>
      <c r="O37" s="59"/>
      <c r="P37" s="69"/>
      <c r="Q37" s="69"/>
      <c r="R37" s="69"/>
      <c r="S37" s="69"/>
      <c r="T37" s="69"/>
      <c r="U37" s="69"/>
      <c r="V37" s="69"/>
      <c r="W37" s="69"/>
      <c r="X37" s="69"/>
      <c r="Y37" s="69"/>
      <c r="Z37" s="69"/>
      <c r="AA37" s="69"/>
      <c r="AB37" s="69"/>
      <c r="AC37" s="69"/>
      <c r="AD37" s="43"/>
      <c r="AE37" s="43"/>
      <c r="AF37" s="43"/>
      <c r="AG37" s="43"/>
      <c r="AH37" s="46"/>
      <c r="AI37" s="49"/>
      <c r="AJ37" s="59"/>
      <c r="AK37" s="59"/>
      <c r="AL37" s="59"/>
      <c r="AM37" s="59"/>
      <c r="AN37" s="59"/>
    </row>
    <row r="38" spans="1:40" ht="77.25" customHeight="1" thickBot="1" x14ac:dyDescent="0.35">
      <c r="A38" s="66"/>
      <c r="B38" s="65"/>
      <c r="C38" s="64"/>
      <c r="D38" s="64"/>
      <c r="E38" s="64"/>
      <c r="F38" s="72"/>
      <c r="G38" s="70"/>
      <c r="H38" s="66"/>
      <c r="I38" s="66"/>
      <c r="J38" s="67"/>
      <c r="K38" s="68"/>
      <c r="L38" s="64"/>
      <c r="M38" s="66"/>
      <c r="N38" s="64"/>
      <c r="O38" s="64"/>
      <c r="P38" s="70"/>
      <c r="Q38" s="70"/>
      <c r="R38" s="70"/>
      <c r="S38" s="70"/>
      <c r="T38" s="70"/>
      <c r="U38" s="70"/>
      <c r="V38" s="70"/>
      <c r="W38" s="70"/>
      <c r="X38" s="70"/>
      <c r="Y38" s="70"/>
      <c r="Z38" s="70"/>
      <c r="AA38" s="70"/>
      <c r="AB38" s="70"/>
      <c r="AC38" s="70"/>
      <c r="AD38" s="66"/>
      <c r="AE38" s="66"/>
      <c r="AF38" s="66"/>
      <c r="AG38" s="66"/>
      <c r="AH38" s="67"/>
      <c r="AI38" s="68"/>
      <c r="AJ38" s="64"/>
      <c r="AK38" s="64"/>
      <c r="AL38" s="64"/>
      <c r="AM38" s="64"/>
      <c r="AN38" s="64"/>
    </row>
    <row r="39" spans="1:40" ht="111.75" customHeight="1" x14ac:dyDescent="0.3">
      <c r="A39" s="55">
        <v>8</v>
      </c>
      <c r="B39" s="57" t="s">
        <v>136</v>
      </c>
      <c r="C39" s="42" t="s">
        <v>19</v>
      </c>
      <c r="D39" s="54" t="s">
        <v>39</v>
      </c>
      <c r="E39" s="54" t="s">
        <v>127</v>
      </c>
      <c r="F39" s="54" t="s">
        <v>128</v>
      </c>
      <c r="G39" s="61" t="s">
        <v>129</v>
      </c>
      <c r="H39" s="42">
        <v>2</v>
      </c>
      <c r="I39" s="42">
        <v>3</v>
      </c>
      <c r="J39" s="45">
        <f>H39*I39</f>
        <v>6</v>
      </c>
      <c r="K39" s="48" t="str">
        <f>IF(AND(H39=1,I39=1),"BAJO",IF(AND(H39=1,I39=2),"BAJO",IF(AND(H39=2,I39=1),"BAJO",IF(AND(H39=2,I39=2),"BAJO",IF(AND(H39=3,I39=1),"BAJO",IF(AND(H39=1,I39=3),"MODERADO",IF(AND(H39=2,I39=3),"MODERADO",IF(AND(H39=3,I39=2),"MODERADO",IF(AND(H39=4,I39=1),"MODERADO",IF(AND(H39=5,I39=1),"ALTO",IF(AND(H39=4,I39=2),"ALTO",IF(AND(H39=3,I39=3),"ALTO",IF(AND(H39=2,I39=4),"ALTO",IF(AND(H39=1,I39=4),"ALTO",IF(AND(H39=5,I39=2),"ALTO",IF(AND(H39=4,I39=3),"ALTO","EXTREMO"))))))))))))))))</f>
        <v>MODERADO</v>
      </c>
      <c r="L39" s="30" t="s">
        <v>130</v>
      </c>
      <c r="M39" s="31" t="s">
        <v>0</v>
      </c>
      <c r="N39" s="32" t="s">
        <v>50</v>
      </c>
      <c r="O39" s="32" t="s">
        <v>52</v>
      </c>
      <c r="P39" s="33" t="s">
        <v>47</v>
      </c>
      <c r="Q39" s="34">
        <f>IF(P39="Asignado",[5]Listas!$C$30,[5]Listas!$C$31)</f>
        <v>15</v>
      </c>
      <c r="R39" s="33" t="s">
        <v>28</v>
      </c>
      <c r="S39" s="34">
        <f>IF(R39="Adecuado",[5]Listas!$C$32,[5]Listas!$C$33)</f>
        <v>15</v>
      </c>
      <c r="T39" s="33" t="s">
        <v>29</v>
      </c>
      <c r="U39" s="34">
        <f>IF(T39="Oportuna",[5]Listas!$C$34,[5]Listas!$C$35)</f>
        <v>15</v>
      </c>
      <c r="V39" s="33" t="s">
        <v>33</v>
      </c>
      <c r="W39" s="34">
        <f>IF(V39="Prevenir",[5]Listas!$C$36,IF(V39="Detectar",[5]Listas!$C$37,[5]Listas!$C$38))</f>
        <v>15</v>
      </c>
      <c r="X39" s="33" t="s">
        <v>30</v>
      </c>
      <c r="Y39" s="34">
        <f>IF(X39="Confiable",[5]Listas!$C$39,[5]Listas!$C$40)</f>
        <v>15</v>
      </c>
      <c r="Z39" s="33" t="s">
        <v>31</v>
      </c>
      <c r="AA39" s="34">
        <f>IF(Z39="Se investigan y resuelven oportunamente",[5]Listas!$C$41,[5]Listas!$C$42)</f>
        <v>15</v>
      </c>
      <c r="AB39" s="33" t="s">
        <v>32</v>
      </c>
      <c r="AC39" s="34">
        <f>IF(AB39="Completa",[5]Listas!$C$43,IF(AB39="Incompleta",[5]Listas!$C$44,[5]Listas!$C$45))</f>
        <v>10</v>
      </c>
      <c r="AD39" s="31">
        <f>Q39+S39+U39+W39+Y39+AA39+AC39</f>
        <v>100</v>
      </c>
      <c r="AE39" s="42">
        <f>AVERAGE(AD39:AD39)</f>
        <v>100</v>
      </c>
      <c r="AF39" s="42">
        <v>1</v>
      </c>
      <c r="AG39" s="42">
        <v>3</v>
      </c>
      <c r="AH39" s="45">
        <f>AF39*AG39</f>
        <v>3</v>
      </c>
      <c r="AI39" s="48" t="str">
        <f>IF(AND(AF39=1,AG39=1),"BAJO",IF(AND(AF39=1,AG39=2),"BAJO",IF(AND(AF39=2,AG39=1),"BAJO",IF(AND(AF39=2,AG39=2),"BAJO",IF(AND(AF39=3,AG39=1),"BAJO",IF(AND(AF39=1,AG39=3),"MODERADO",IF(AND(AF39=2,AG39=3),"MODERADO",IF(AND(AF39=3,AG39=2),"MODERADO",IF(AND(AF39=4,AG39=1),"MODERADO",IF(AND(AF39=5,AG39=1),"ALTO",IF(AND(AF39=4,AG39=2),"ALTO",IF(AND(AF39=3,AG39=3),"ALTO",IF(AND(AF39=2,AG39=4),"ALTO",IF(AND(AF39=1,AG39=4),"ALTO",IF(AND(AF39=5,AG39=2),"ALTO",IF(AND(AF39=4,AG39=3),"ALTO","EXTREMO"))))))))))))))))</f>
        <v>MODERADO</v>
      </c>
      <c r="AJ39" s="51" t="s">
        <v>40</v>
      </c>
      <c r="AK39" s="54" t="s">
        <v>131</v>
      </c>
      <c r="AL39" s="54" t="s">
        <v>132</v>
      </c>
      <c r="AM39" s="51" t="s">
        <v>133</v>
      </c>
      <c r="AN39" s="100" t="s">
        <v>134</v>
      </c>
    </row>
    <row r="40" spans="1:40" ht="27" hidden="1" customHeight="1" x14ac:dyDescent="0.3">
      <c r="A40" s="56"/>
      <c r="B40" s="58"/>
      <c r="C40" s="43"/>
      <c r="D40" s="59"/>
      <c r="E40" s="59"/>
      <c r="F40" s="59"/>
      <c r="G40" s="62"/>
      <c r="H40" s="43"/>
      <c r="I40" s="43"/>
      <c r="J40" s="46"/>
      <c r="K40" s="49"/>
      <c r="L40" s="28"/>
      <c r="M40" s="23"/>
      <c r="N40" s="24"/>
      <c r="O40" s="24"/>
      <c r="P40" s="18"/>
      <c r="Q40" s="27">
        <f>IF(P40="Asignado",[5]Listas!$C$30,[5]Listas!$C$31)</f>
        <v>0</v>
      </c>
      <c r="R40" s="18"/>
      <c r="S40" s="27">
        <f>IF(R40="Adecuado",[5]Listas!$C$32,[5]Listas!$C$33)</f>
        <v>0</v>
      </c>
      <c r="T40" s="18"/>
      <c r="U40" s="27">
        <f>IF(T40="Oportuna",[5]Listas!$C$34,[5]Listas!$C$35)</f>
        <v>0</v>
      </c>
      <c r="V40" s="18"/>
      <c r="W40" s="27">
        <f>IF(V40="Prevenir",[5]Listas!$C$36,IF(V40="Detectar",[5]Listas!$C$37,[5]Listas!$C$38))</f>
        <v>0</v>
      </c>
      <c r="X40" s="18"/>
      <c r="Y40" s="27">
        <f>IF(X40="Confiable",[5]Listas!$C$39,[5]Listas!$C$40)</f>
        <v>0</v>
      </c>
      <c r="Z40" s="18"/>
      <c r="AA40" s="27">
        <f>IF(Z40="Se investigan y resuelven oportunamente",[5]Listas!$C$41,[5]Listas!$C$42)</f>
        <v>0</v>
      </c>
      <c r="AB40" s="18"/>
      <c r="AC40" s="27">
        <f>IF(AB40="Completa",[5]Listas!$C$43,IF(AB40="Incompleta",[5]Listas!$C$44,[5]Listas!$C$45))</f>
        <v>0</v>
      </c>
      <c r="AD40" s="23">
        <f t="shared" ref="AD40:AD43" si="6">Q40+S40+U40+W40+Y40+AA40+AC40</f>
        <v>0</v>
      </c>
      <c r="AE40" s="43"/>
      <c r="AF40" s="43"/>
      <c r="AG40" s="43"/>
      <c r="AH40" s="46"/>
      <c r="AI40" s="49"/>
      <c r="AJ40" s="52"/>
      <c r="AK40" s="43"/>
      <c r="AL40" s="43"/>
      <c r="AM40" s="52"/>
      <c r="AN40" s="101"/>
    </row>
    <row r="41" spans="1:40" ht="27" hidden="1" customHeight="1" x14ac:dyDescent="0.3">
      <c r="A41" s="56"/>
      <c r="B41" s="58"/>
      <c r="C41" s="43"/>
      <c r="D41" s="59"/>
      <c r="E41" s="59"/>
      <c r="F41" s="59"/>
      <c r="G41" s="62"/>
      <c r="H41" s="43"/>
      <c r="I41" s="43"/>
      <c r="J41" s="46"/>
      <c r="K41" s="49"/>
      <c r="L41" s="25"/>
      <c r="M41" s="23"/>
      <c r="N41" s="24"/>
      <c r="O41" s="24"/>
      <c r="P41" s="18"/>
      <c r="Q41" s="27">
        <f>IF(P41="Asignado",[5]Listas!$C$30,[5]Listas!$C$31)</f>
        <v>0</v>
      </c>
      <c r="R41" s="18"/>
      <c r="S41" s="27">
        <f>IF(R41="Adecuado",[5]Listas!$C$32,[5]Listas!$C$33)</f>
        <v>0</v>
      </c>
      <c r="T41" s="18"/>
      <c r="U41" s="27">
        <f>IF(T41="Oportuna",[5]Listas!$C$34,[5]Listas!$C$35)</f>
        <v>0</v>
      </c>
      <c r="V41" s="18"/>
      <c r="W41" s="27">
        <f>IF(V41="Prevenir",[5]Listas!$C$36,IF(V41="Detectar",[5]Listas!$C$37,[5]Listas!$C$38))</f>
        <v>0</v>
      </c>
      <c r="X41" s="18"/>
      <c r="Y41" s="27">
        <f>IF(X41="Confiable",[5]Listas!$C$39,[5]Listas!$C$40)</f>
        <v>0</v>
      </c>
      <c r="Z41" s="18"/>
      <c r="AA41" s="27">
        <f>IF(Z41="Se investigan y resuelven oportunamente",[5]Listas!$C$41,[5]Listas!$C$42)</f>
        <v>0</v>
      </c>
      <c r="AB41" s="18"/>
      <c r="AC41" s="27">
        <f>IF(AB41="Completa",[5]Listas!$C$43,IF(AB41="Incompleta",[5]Listas!$C$44,[5]Listas!$C$45))</f>
        <v>0</v>
      </c>
      <c r="AD41" s="23">
        <f t="shared" si="6"/>
        <v>0</v>
      </c>
      <c r="AE41" s="43"/>
      <c r="AF41" s="43"/>
      <c r="AG41" s="43"/>
      <c r="AH41" s="46"/>
      <c r="AI41" s="49"/>
      <c r="AJ41" s="52"/>
      <c r="AK41" s="43"/>
      <c r="AL41" s="43"/>
      <c r="AM41" s="52"/>
      <c r="AN41" s="101"/>
    </row>
    <row r="42" spans="1:40" ht="27" hidden="1" customHeight="1" x14ac:dyDescent="0.3">
      <c r="A42" s="56"/>
      <c r="B42" s="58"/>
      <c r="C42" s="43"/>
      <c r="D42" s="59"/>
      <c r="E42" s="59"/>
      <c r="F42" s="59"/>
      <c r="G42" s="62"/>
      <c r="H42" s="43"/>
      <c r="I42" s="43"/>
      <c r="J42" s="46"/>
      <c r="K42" s="49"/>
      <c r="L42" s="29"/>
      <c r="M42" s="23"/>
      <c r="N42" s="24"/>
      <c r="O42" s="24"/>
      <c r="P42" s="18"/>
      <c r="Q42" s="27">
        <f>IF(P42="Asignado",[5]Listas!$C$30,[5]Listas!$C$31)</f>
        <v>0</v>
      </c>
      <c r="R42" s="18"/>
      <c r="S42" s="27">
        <f>IF(R42="Adecuado",[5]Listas!$C$32,[5]Listas!$C$33)</f>
        <v>0</v>
      </c>
      <c r="T42" s="18"/>
      <c r="U42" s="27">
        <f>IF(T42="Oportuna",[5]Listas!$C$34,[5]Listas!$C$35)</f>
        <v>0</v>
      </c>
      <c r="V42" s="18"/>
      <c r="W42" s="27">
        <f>IF(V42="Prevenir",[5]Listas!$C$36,IF(V42="Detectar",[5]Listas!$C$37,[5]Listas!$C$38))</f>
        <v>0</v>
      </c>
      <c r="X42" s="18"/>
      <c r="Y42" s="27">
        <f>IF(X42="Confiable",[5]Listas!$C$39,[5]Listas!$C$40)</f>
        <v>0</v>
      </c>
      <c r="Z42" s="18"/>
      <c r="AA42" s="27">
        <f>IF(Z42="Se investigan y resuelven oportunamente",[5]Listas!$C$41,[5]Listas!$C$42)</f>
        <v>0</v>
      </c>
      <c r="AB42" s="18"/>
      <c r="AC42" s="27">
        <f>IF(AB42="Completa",[5]Listas!$C$43,IF(AB42="Incompleta",[5]Listas!$C$44,[5]Listas!$C$45))</f>
        <v>0</v>
      </c>
      <c r="AD42" s="23">
        <f t="shared" si="6"/>
        <v>0</v>
      </c>
      <c r="AE42" s="43"/>
      <c r="AF42" s="43"/>
      <c r="AG42" s="43"/>
      <c r="AH42" s="46"/>
      <c r="AI42" s="49"/>
      <c r="AJ42" s="52"/>
      <c r="AK42" s="43"/>
      <c r="AL42" s="43"/>
      <c r="AM42" s="52"/>
      <c r="AN42" s="101"/>
    </row>
    <row r="43" spans="1:40" ht="14.4" hidden="1" thickBot="1" x14ac:dyDescent="0.35">
      <c r="A43" s="35"/>
      <c r="B43" s="36"/>
      <c r="C43" s="44"/>
      <c r="D43" s="60"/>
      <c r="E43" s="60"/>
      <c r="F43" s="60"/>
      <c r="G43" s="63"/>
      <c r="H43" s="44"/>
      <c r="I43" s="44"/>
      <c r="J43" s="47"/>
      <c r="K43" s="50"/>
      <c r="L43" s="37"/>
      <c r="M43" s="38"/>
      <c r="N43" s="39"/>
      <c r="O43" s="39"/>
      <c r="P43" s="40"/>
      <c r="Q43" s="41">
        <f>IF(P43="Asignado",[5]Listas!$C$30,[5]Listas!$C$31)</f>
        <v>0</v>
      </c>
      <c r="R43" s="40"/>
      <c r="S43" s="41">
        <f>IF(R43="Adecuado",[5]Listas!$C$32,[5]Listas!$C$33)</f>
        <v>0</v>
      </c>
      <c r="T43" s="40"/>
      <c r="U43" s="41">
        <f>IF(T43="Oportuna",[5]Listas!$C$34,[5]Listas!$C$35)</f>
        <v>0</v>
      </c>
      <c r="V43" s="40"/>
      <c r="W43" s="41">
        <f>IF(V43="Prevenir",[5]Listas!$C$36,IF(V43="Detectar",[5]Listas!$C$37,[5]Listas!$C$38))</f>
        <v>0</v>
      </c>
      <c r="X43" s="40"/>
      <c r="Y43" s="41">
        <f>IF(X43="Confiable",[5]Listas!$C$39,[5]Listas!$C$40)</f>
        <v>0</v>
      </c>
      <c r="Z43" s="40"/>
      <c r="AA43" s="41">
        <f>IF(Z43="Se investigan y resuelven oportunamente",[5]Listas!$C$41,[5]Listas!$C$42)</f>
        <v>0</v>
      </c>
      <c r="AB43" s="40"/>
      <c r="AC43" s="41">
        <f>IF(AB43="Completa",[5]Listas!$C$43,IF(AB43="Incompleta",[5]Listas!$C$44,[5]Listas!$C$45))</f>
        <v>0</v>
      </c>
      <c r="AD43" s="38">
        <f t="shared" si="6"/>
        <v>0</v>
      </c>
      <c r="AE43" s="44"/>
      <c r="AF43" s="44"/>
      <c r="AG43" s="44"/>
      <c r="AH43" s="47"/>
      <c r="AI43" s="50"/>
      <c r="AJ43" s="53"/>
      <c r="AK43" s="44"/>
      <c r="AL43" s="44"/>
      <c r="AM43" s="53"/>
      <c r="AN43" s="102"/>
    </row>
    <row r="104" ht="33.75" customHeight="1" x14ac:dyDescent="0.3"/>
    <row r="106" ht="33.75" customHeight="1" x14ac:dyDescent="0.3"/>
    <row r="108" ht="33.75" customHeight="1" x14ac:dyDescent="0.3"/>
  </sheetData>
  <dataConsolidate/>
  <mergeCells count="275">
    <mergeCell ref="G14:G16"/>
    <mergeCell ref="H14:H16"/>
    <mergeCell ref="I14:I16"/>
    <mergeCell ref="J14:J16"/>
    <mergeCell ref="K14:K16"/>
    <mergeCell ref="I17:I18"/>
    <mergeCell ref="J17:J18"/>
    <mergeCell ref="K17:K18"/>
    <mergeCell ref="B1:L1"/>
    <mergeCell ref="B2:L3"/>
    <mergeCell ref="A14:A16"/>
    <mergeCell ref="C14:C16"/>
    <mergeCell ref="D14:D16"/>
    <mergeCell ref="E14:E16"/>
    <mergeCell ref="F14:F16"/>
    <mergeCell ref="I11:I12"/>
    <mergeCell ref="J11:K12"/>
    <mergeCell ref="H11:H12"/>
    <mergeCell ref="AN39:AN43"/>
    <mergeCell ref="B17:B18"/>
    <mergeCell ref="B19:B33"/>
    <mergeCell ref="C39:C43"/>
    <mergeCell ref="D39:D43"/>
    <mergeCell ref="AD11:AD12"/>
    <mergeCell ref="A11:A12"/>
    <mergeCell ref="C11:D11"/>
    <mergeCell ref="E11:E12"/>
    <mergeCell ref="F11:F12"/>
    <mergeCell ref="G11:G12"/>
    <mergeCell ref="Z12:AA12"/>
    <mergeCell ref="AB12:AC12"/>
    <mergeCell ref="O11:O12"/>
    <mergeCell ref="P11:AC11"/>
    <mergeCell ref="P12:Q12"/>
    <mergeCell ref="A1:A3"/>
    <mergeCell ref="E10:G10"/>
    <mergeCell ref="C10:D10"/>
    <mergeCell ref="H10:K10"/>
    <mergeCell ref="C5:F5"/>
    <mergeCell ref="C6:F6"/>
    <mergeCell ref="V7:Z7"/>
    <mergeCell ref="L10:AI10"/>
    <mergeCell ref="AJ10:AN10"/>
    <mergeCell ref="AK11:AN11"/>
    <mergeCell ref="AE11:AE12"/>
    <mergeCell ref="AF11:AF12"/>
    <mergeCell ref="N11:N12"/>
    <mergeCell ref="L11:L12"/>
    <mergeCell ref="M11:M12"/>
    <mergeCell ref="R12:S12"/>
    <mergeCell ref="T12:U12"/>
    <mergeCell ref="V12:W12"/>
    <mergeCell ref="X12:Y12"/>
    <mergeCell ref="AJ11:AJ12"/>
    <mergeCell ref="AH11:AI12"/>
    <mergeCell ref="AG11:AG12"/>
    <mergeCell ref="AJ14:AJ16"/>
    <mergeCell ref="AK14:AK15"/>
    <mergeCell ref="AL14:AL15"/>
    <mergeCell ref="AM14:AM15"/>
    <mergeCell ref="AN14:AN15"/>
    <mergeCell ref="AE14:AE16"/>
    <mergeCell ref="AF14:AF16"/>
    <mergeCell ref="AG14:AG16"/>
    <mergeCell ref="AH14:AH16"/>
    <mergeCell ref="AI14:AI16"/>
    <mergeCell ref="U17:U18"/>
    <mergeCell ref="L17:L18"/>
    <mergeCell ref="M17:M18"/>
    <mergeCell ref="N17:N18"/>
    <mergeCell ref="O17:O18"/>
    <mergeCell ref="P17:P18"/>
    <mergeCell ref="F17:F18"/>
    <mergeCell ref="G17:G18"/>
    <mergeCell ref="H17:H18"/>
    <mergeCell ref="AK17:AK18"/>
    <mergeCell ref="AL17:AL18"/>
    <mergeCell ref="A17:A18"/>
    <mergeCell ref="AM17:AM18"/>
    <mergeCell ref="AN17:AN18"/>
    <mergeCell ref="AF17:AF18"/>
    <mergeCell ref="AG17:AG18"/>
    <mergeCell ref="AH17:AH18"/>
    <mergeCell ref="AI17:AI18"/>
    <mergeCell ref="AJ17:AJ18"/>
    <mergeCell ref="AA17:AA18"/>
    <mergeCell ref="AB17:AB18"/>
    <mergeCell ref="AC17:AC18"/>
    <mergeCell ref="AD17:AD18"/>
    <mergeCell ref="AE17:AE18"/>
    <mergeCell ref="V17:V18"/>
    <mergeCell ref="W17:W18"/>
    <mergeCell ref="X17:X18"/>
    <mergeCell ref="Y17:Y18"/>
    <mergeCell ref="Z17:Z18"/>
    <mergeCell ref="Q17:Q18"/>
    <mergeCell ref="R17:R18"/>
    <mergeCell ref="S17:S18"/>
    <mergeCell ref="T17:T18"/>
    <mergeCell ref="S19:S23"/>
    <mergeCell ref="T19:T23"/>
    <mergeCell ref="U19:U23"/>
    <mergeCell ref="L19:L23"/>
    <mergeCell ref="M19:M23"/>
    <mergeCell ref="N19:N23"/>
    <mergeCell ref="O19:O23"/>
    <mergeCell ref="P19:P23"/>
    <mergeCell ref="A19:A23"/>
    <mergeCell ref="F19:F23"/>
    <mergeCell ref="G19:G23"/>
    <mergeCell ref="H19:H23"/>
    <mergeCell ref="I19:I23"/>
    <mergeCell ref="J19:J23"/>
    <mergeCell ref="K19:K23"/>
    <mergeCell ref="AK19:AK23"/>
    <mergeCell ref="AL19:AL23"/>
    <mergeCell ref="AM19:AM23"/>
    <mergeCell ref="AN19:AN23"/>
    <mergeCell ref="C21:C23"/>
    <mergeCell ref="D21:D23"/>
    <mergeCell ref="E21:E23"/>
    <mergeCell ref="AF19:AF23"/>
    <mergeCell ref="AG19:AG23"/>
    <mergeCell ref="AH19:AH23"/>
    <mergeCell ref="AI19:AI23"/>
    <mergeCell ref="AJ19:AJ23"/>
    <mergeCell ref="AA19:AA23"/>
    <mergeCell ref="AB19:AB23"/>
    <mergeCell ref="AC19:AC23"/>
    <mergeCell ref="AD19:AD23"/>
    <mergeCell ref="AE19:AE23"/>
    <mergeCell ref="V19:V23"/>
    <mergeCell ref="W19:W23"/>
    <mergeCell ref="X19:X23"/>
    <mergeCell ref="Y19:Y23"/>
    <mergeCell ref="Z19:Z23"/>
    <mergeCell ref="Q19:Q23"/>
    <mergeCell ref="R19:R23"/>
    <mergeCell ref="G24:G28"/>
    <mergeCell ref="H24:H28"/>
    <mergeCell ref="I24:I28"/>
    <mergeCell ref="J24:J28"/>
    <mergeCell ref="K24:K28"/>
    <mergeCell ref="A24:A28"/>
    <mergeCell ref="C24:C28"/>
    <mergeCell ref="D24:D28"/>
    <mergeCell ref="E24:E28"/>
    <mergeCell ref="F24:F28"/>
    <mergeCell ref="Q24:Q28"/>
    <mergeCell ref="R24:R28"/>
    <mergeCell ref="S24:S28"/>
    <mergeCell ref="T24:T28"/>
    <mergeCell ref="U24:U28"/>
    <mergeCell ref="L24:L28"/>
    <mergeCell ref="M24:M28"/>
    <mergeCell ref="N24:N28"/>
    <mergeCell ref="O24:O28"/>
    <mergeCell ref="P24:P28"/>
    <mergeCell ref="AA24:AA28"/>
    <mergeCell ref="AB24:AB28"/>
    <mergeCell ref="AC24:AC28"/>
    <mergeCell ref="AD24:AD28"/>
    <mergeCell ref="AE24:AE28"/>
    <mergeCell ref="V24:V28"/>
    <mergeCell ref="W24:W28"/>
    <mergeCell ref="X24:X28"/>
    <mergeCell ref="Y24:Y28"/>
    <mergeCell ref="Z24:Z28"/>
    <mergeCell ref="R29:R33"/>
    <mergeCell ref="S29:S33"/>
    <mergeCell ref="T29:T33"/>
    <mergeCell ref="AK24:AK28"/>
    <mergeCell ref="AL24:AL28"/>
    <mergeCell ref="AM24:AM28"/>
    <mergeCell ref="AN24:AN28"/>
    <mergeCell ref="A29:A33"/>
    <mergeCell ref="D29:D33"/>
    <mergeCell ref="F29:F33"/>
    <mergeCell ref="G29:G33"/>
    <mergeCell ref="H29:H33"/>
    <mergeCell ref="I29:I33"/>
    <mergeCell ref="J29:J33"/>
    <mergeCell ref="K29:K33"/>
    <mergeCell ref="L29:L33"/>
    <mergeCell ref="M29:M33"/>
    <mergeCell ref="N29:N33"/>
    <mergeCell ref="O29:O33"/>
    <mergeCell ref="AF24:AF28"/>
    <mergeCell ref="AG24:AG28"/>
    <mergeCell ref="AH24:AH28"/>
    <mergeCell ref="AI24:AI28"/>
    <mergeCell ref="AJ24:AJ28"/>
    <mergeCell ref="C31:C33"/>
    <mergeCell ref="E31:E33"/>
    <mergeCell ref="AJ29:AJ33"/>
    <mergeCell ref="AK29:AK33"/>
    <mergeCell ref="AL29:AL33"/>
    <mergeCell ref="AM29:AM33"/>
    <mergeCell ref="AN29:AN33"/>
    <mergeCell ref="AE29:AE33"/>
    <mergeCell ref="AF29:AF33"/>
    <mergeCell ref="AG29:AG33"/>
    <mergeCell ref="AH29:AH33"/>
    <mergeCell ref="AI29:AI33"/>
    <mergeCell ref="Z29:Z33"/>
    <mergeCell ref="AA29:AA33"/>
    <mergeCell ref="AB29:AB33"/>
    <mergeCell ref="AC29:AC33"/>
    <mergeCell ref="AD29:AD33"/>
    <mergeCell ref="U29:U33"/>
    <mergeCell ref="V29:V33"/>
    <mergeCell ref="W29:W33"/>
    <mergeCell ref="X29:X33"/>
    <mergeCell ref="Y29:Y33"/>
    <mergeCell ref="P29:P33"/>
    <mergeCell ref="Q29:Q33"/>
    <mergeCell ref="T34:T38"/>
    <mergeCell ref="U34:U38"/>
    <mergeCell ref="A34:A38"/>
    <mergeCell ref="C34:C38"/>
    <mergeCell ref="D34:D38"/>
    <mergeCell ref="E34:E38"/>
    <mergeCell ref="F34:F38"/>
    <mergeCell ref="G34:G38"/>
    <mergeCell ref="H34:H38"/>
    <mergeCell ref="I34:I38"/>
    <mergeCell ref="J34:J38"/>
    <mergeCell ref="K34:K38"/>
    <mergeCell ref="L34:L38"/>
    <mergeCell ref="M34:M38"/>
    <mergeCell ref="N34:N38"/>
    <mergeCell ref="O34:O38"/>
    <mergeCell ref="P34:P38"/>
    <mergeCell ref="AK34:AK38"/>
    <mergeCell ref="AL34:AL38"/>
    <mergeCell ref="AM34:AM38"/>
    <mergeCell ref="AN34:AN38"/>
    <mergeCell ref="B14:B16"/>
    <mergeCell ref="B34:B38"/>
    <mergeCell ref="AF34:AF38"/>
    <mergeCell ref="AG34:AG38"/>
    <mergeCell ref="AH34:AH38"/>
    <mergeCell ref="AI34:AI38"/>
    <mergeCell ref="AJ34:AJ38"/>
    <mergeCell ref="AA34:AA38"/>
    <mergeCell ref="AB34:AB38"/>
    <mergeCell ref="AC34:AC38"/>
    <mergeCell ref="AD34:AD38"/>
    <mergeCell ref="AE34:AE38"/>
    <mergeCell ref="V34:V38"/>
    <mergeCell ref="W34:W38"/>
    <mergeCell ref="X34:X38"/>
    <mergeCell ref="Y34:Y38"/>
    <mergeCell ref="Z34:Z38"/>
    <mergeCell ref="Q34:Q38"/>
    <mergeCell ref="R34:R38"/>
    <mergeCell ref="S34:S38"/>
    <mergeCell ref="A39:A42"/>
    <mergeCell ref="B39:B42"/>
    <mergeCell ref="E39:E43"/>
    <mergeCell ref="F39:F43"/>
    <mergeCell ref="G39:G43"/>
    <mergeCell ref="H39:H43"/>
    <mergeCell ref="I39:I43"/>
    <mergeCell ref="J39:J43"/>
    <mergeCell ref="AE39:AE43"/>
    <mergeCell ref="AF39:AF43"/>
    <mergeCell ref="AG39:AG43"/>
    <mergeCell ref="AH39:AH43"/>
    <mergeCell ref="AI39:AI43"/>
    <mergeCell ref="AJ39:AJ43"/>
    <mergeCell ref="AK39:AK43"/>
    <mergeCell ref="AL39:AL43"/>
    <mergeCell ref="AM39:AM43"/>
    <mergeCell ref="K39:K43"/>
  </mergeCells>
  <conditionalFormatting sqref="K13">
    <cfRule type="expression" dxfId="59" priority="92">
      <formula>K13="EXTREMO"</formula>
    </cfRule>
    <cfRule type="expression" dxfId="58" priority="93">
      <formula>K13="MODERADO"</formula>
    </cfRule>
    <cfRule type="expression" dxfId="57" priority="94">
      <formula>K13="ALTO"</formula>
    </cfRule>
    <cfRule type="expression" dxfId="56" priority="95">
      <formula>K13="BAJO"</formula>
    </cfRule>
  </conditionalFormatting>
  <conditionalFormatting sqref="K13">
    <cfRule type="expression" dxfId="55" priority="91">
      <formula>K13=" "</formula>
    </cfRule>
  </conditionalFormatting>
  <conditionalFormatting sqref="AI13">
    <cfRule type="expression" dxfId="54" priority="72">
      <formula>AI13="EXTREMO"</formula>
    </cfRule>
    <cfRule type="expression" dxfId="53" priority="73">
      <formula>AI13="MODERADO"</formula>
    </cfRule>
    <cfRule type="expression" dxfId="52" priority="74">
      <formula>AI13="ALTO"</formula>
    </cfRule>
    <cfRule type="expression" dxfId="51" priority="75">
      <formula>AI13="BAJO"</formula>
    </cfRule>
  </conditionalFormatting>
  <conditionalFormatting sqref="AI13">
    <cfRule type="expression" dxfId="50" priority="71">
      <formula>AI13=" "</formula>
    </cfRule>
  </conditionalFormatting>
  <conditionalFormatting sqref="K14">
    <cfRule type="expression" dxfId="49" priority="67">
      <formula>K14="EXTREMO"</formula>
    </cfRule>
    <cfRule type="expression" dxfId="48" priority="68">
      <formula>K14="MODERADO"</formula>
    </cfRule>
    <cfRule type="expression" dxfId="47" priority="69">
      <formula>K14="ALTO"</formula>
    </cfRule>
    <cfRule type="expression" dxfId="46" priority="70">
      <formula>K14="BAJO"</formula>
    </cfRule>
  </conditionalFormatting>
  <conditionalFormatting sqref="K14">
    <cfRule type="expression" dxfId="45" priority="66">
      <formula>K14=" "</formula>
    </cfRule>
  </conditionalFormatting>
  <conditionalFormatting sqref="AI14">
    <cfRule type="expression" dxfId="44" priority="62">
      <formula>AI14="EXTREMO"</formula>
    </cfRule>
    <cfRule type="expression" dxfId="43" priority="63">
      <formula>AI14="MODERADO"</formula>
    </cfRule>
    <cfRule type="expression" dxfId="42" priority="64">
      <formula>AI14="ALTO"</formula>
    </cfRule>
    <cfRule type="expression" dxfId="41" priority="65">
      <formula>AI14="BAJO"</formula>
    </cfRule>
  </conditionalFormatting>
  <conditionalFormatting sqref="AI14">
    <cfRule type="expression" dxfId="40" priority="61">
      <formula>AI14=" "</formula>
    </cfRule>
  </conditionalFormatting>
  <conditionalFormatting sqref="AI34">
    <cfRule type="expression" dxfId="39" priority="21">
      <formula>AI34=" "</formula>
    </cfRule>
  </conditionalFormatting>
  <conditionalFormatting sqref="K17">
    <cfRule type="expression" dxfId="38" priority="57">
      <formula>K17="EXTREMO"</formula>
    </cfRule>
    <cfRule type="expression" dxfId="37" priority="58">
      <formula>K17="MODERADO"</formula>
    </cfRule>
    <cfRule type="expression" dxfId="36" priority="59">
      <formula>K17="ALTO"</formula>
    </cfRule>
    <cfRule type="expression" dxfId="35" priority="60">
      <formula>K17="BAJO"</formula>
    </cfRule>
  </conditionalFormatting>
  <conditionalFormatting sqref="K17">
    <cfRule type="expression" dxfId="34" priority="56">
      <formula>K17=" "</formula>
    </cfRule>
  </conditionalFormatting>
  <conditionalFormatting sqref="AI17">
    <cfRule type="expression" dxfId="33" priority="52">
      <formula>AI17="EXTREMO"</formula>
    </cfRule>
    <cfRule type="expression" dxfId="32" priority="53">
      <formula>AI17="MODERADO"</formula>
    </cfRule>
    <cfRule type="expression" dxfId="31" priority="54">
      <formula>AI17="ALTO"</formula>
    </cfRule>
    <cfRule type="expression" dxfId="30" priority="55">
      <formula>AI17="BAJO"</formula>
    </cfRule>
  </conditionalFormatting>
  <conditionalFormatting sqref="AI17">
    <cfRule type="expression" dxfId="29" priority="51">
      <formula>AI17=" "</formula>
    </cfRule>
  </conditionalFormatting>
  <conditionalFormatting sqref="K19 K24 K29 AI29">
    <cfRule type="expression" dxfId="28" priority="47">
      <formula>K19="EXTREMO"</formula>
    </cfRule>
    <cfRule type="expression" dxfId="27" priority="48">
      <formula>K19="MODERADO"</formula>
    </cfRule>
    <cfRule type="expression" dxfId="26" priority="49">
      <formula>K19="ALTO"</formula>
    </cfRule>
    <cfRule type="expression" dxfId="25" priority="50">
      <formula>K19="BAJO"</formula>
    </cfRule>
  </conditionalFormatting>
  <conditionalFormatting sqref="K19 K24 K29 AI29">
    <cfRule type="expression" dxfId="24" priority="46">
      <formula>K19=" "</formula>
    </cfRule>
  </conditionalFormatting>
  <conditionalFormatting sqref="AI19 AI24">
    <cfRule type="expression" dxfId="23" priority="42">
      <formula>AI19="EXTREMO"</formula>
    </cfRule>
    <cfRule type="expression" dxfId="22" priority="43">
      <formula>AI19="MODERADO"</formula>
    </cfRule>
    <cfRule type="expression" dxfId="21" priority="44">
      <formula>AI19="ALTO"</formula>
    </cfRule>
    <cfRule type="expression" dxfId="20" priority="45">
      <formula>AI19="BAJO"</formula>
    </cfRule>
  </conditionalFormatting>
  <conditionalFormatting sqref="AI19 AI24">
    <cfRule type="expression" dxfId="19" priority="41">
      <formula>AI19=" "</formula>
    </cfRule>
  </conditionalFormatting>
  <conditionalFormatting sqref="K34">
    <cfRule type="expression" dxfId="18" priority="27">
      <formula>K34="EXTREMO"</formula>
    </cfRule>
    <cfRule type="expression" dxfId="17" priority="28">
      <formula>K34="MODERADO"</formula>
    </cfRule>
    <cfRule type="expression" dxfId="16" priority="29">
      <formula>K34="ALTO"</formula>
    </cfRule>
    <cfRule type="expression" dxfId="15" priority="30">
      <formula>K34="BAJO"</formula>
    </cfRule>
  </conditionalFormatting>
  <conditionalFormatting sqref="K34">
    <cfRule type="expression" dxfId="14" priority="26">
      <formula>K34=" "</formula>
    </cfRule>
  </conditionalFormatting>
  <conditionalFormatting sqref="AI34">
    <cfRule type="expression" dxfId="13" priority="22">
      <formula>AI34="EXTREMO"</formula>
    </cfRule>
    <cfRule type="expression" dxfId="12" priority="23">
      <formula>AI34="MODERADO"</formula>
    </cfRule>
    <cfRule type="expression" dxfId="11" priority="24">
      <formula>AI34="ALTO"</formula>
    </cfRule>
    <cfRule type="expression" dxfId="10" priority="25">
      <formula>AI34="BAJO"</formula>
    </cfRule>
  </conditionalFormatting>
  <conditionalFormatting sqref="K39">
    <cfRule type="expression" dxfId="9" priority="7">
      <formula>K39="EXTREMO"</formula>
    </cfRule>
    <cfRule type="expression" dxfId="8" priority="8">
      <formula>K39="MODERADO"</formula>
    </cfRule>
    <cfRule type="expression" dxfId="7" priority="9">
      <formula>K39="ALTO"</formula>
    </cfRule>
    <cfRule type="expression" dxfId="6" priority="10">
      <formula>K39="BAJO"</formula>
    </cfRule>
  </conditionalFormatting>
  <conditionalFormatting sqref="K39">
    <cfRule type="expression" dxfId="5" priority="6">
      <formula>K39=" "</formula>
    </cfRule>
  </conditionalFormatting>
  <conditionalFormatting sqref="AI39">
    <cfRule type="expression" dxfId="4" priority="2">
      <formula>AI39="EXTREMO"</formula>
    </cfRule>
    <cfRule type="expression" dxfId="3" priority="3">
      <formula>AI39="MODERADO"</formula>
    </cfRule>
    <cfRule type="expression" dxfId="2" priority="4">
      <formula>AI39="ALTO"</formula>
    </cfRule>
    <cfRule type="expression" dxfId="1" priority="5">
      <formula>AI39="BAJO"</formula>
    </cfRule>
  </conditionalFormatting>
  <conditionalFormatting sqref="AI39">
    <cfRule type="expression" dxfId="0" priority="1">
      <formula>AI39=" "</formula>
    </cfRule>
  </conditionalFormatting>
  <dataValidations count="5">
    <dataValidation allowBlank="1" showInputMessage="1" showErrorMessage="1" prompt="Se incluyó a partír de la Guía de riesgos borrador del DAFP" sqref="P12" xr:uid="{00000000-0002-0000-0000-000000000000}"/>
    <dataValidation allowBlank="1" showInputMessage="1" showErrorMessage="1" prompt="Estructura:_x000a__x000a_Responsable +_x000a_Periodicidad +_x000a_Proposito +_x000a_Cómo se realiza +_x000a_Qué pasa con las desviaciones +_x000a_Evidencia" sqref="L11:L12" xr:uid="{00000000-0002-0000-0000-000001000000}"/>
    <dataValidation type="list" allowBlank="1" showInputMessage="1" showErrorMessage="1" sqref="C5:F5 C13:D13 AJ13 M13:P13 R13 T13 V13 X13 Z13 AB13" xr:uid="{00000000-0002-0000-0000-000002000000}">
      <formula1>#REF!</formula1>
    </dataValidation>
    <dataValidation type="list" allowBlank="1" showInputMessage="1" showErrorMessage="1" prompt="1 - Rara vez_x000a_2 - Improbable_x000a_3 - Posible_x000a_4 - Probable_x000a_5 - Casi Seguro" sqref="H13 AF13" xr:uid="{00000000-0002-0000-0000-00000B000000}">
      <formula1>#REF!</formula1>
    </dataValidation>
    <dataValidation type="list" allowBlank="1" showInputMessage="1" showErrorMessage="1" prompt="1 - Insignificante_x000a_2 - Menor_x000a_3 - Moderado_x000a_4 - Mayor_x000a_5 - Catastrófico" sqref="I13 AG13" xr:uid="{00000000-0002-0000-0000-00000C000000}">
      <formula1>#REF!</formula1>
    </dataValidation>
  </dataValidations>
  <pageMargins left="0.31496062992125984" right="0.31496062992125984" top="0.35433070866141736" bottom="0.74803149606299213" header="0.31496062992125984" footer="0.19685039370078741"/>
  <pageSetup scale="20" fitToHeight="11" orientation="landscape" verticalDpi="599" r:id="rId1"/>
  <headerFooter>
    <oddFooter>&amp;LV3 - Mayo de 2016</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11000000}">
          <x14:formula1>
            <xm:f>'C:\Users\jcabrejo\Downloads\[2023_14_MRC_Gestion Financiera.xlsx]Listas'!#REF!</xm:f>
          </x14:formula1>
          <xm:sqref>AJ14:AJ16 C14:D14 AB14:AB16 Z14:Z16 X14:X16 V14:V16 T14:T16 R14:R16 M14:P16</xm:sqref>
        </x14:dataValidation>
        <x14:dataValidation type="list" allowBlank="1" showInputMessage="1" showErrorMessage="1" prompt="1 - Insignificante_x000a_2 - Menor_x000a_3 - Moderado_x000a_4 - Mayor_x000a_5 - Catastrófico" xr:uid="{00000000-0002-0000-0000-000012000000}">
          <x14:formula1>
            <xm:f>'C:\Users\jcabrejo\Downloads\[2023_14_MRC_Gestion Financiera.xlsx]Listas'!#REF!</xm:f>
          </x14:formula1>
          <xm:sqref>I14:I16 AG14:AG16</xm:sqref>
        </x14:dataValidation>
        <x14:dataValidation type="list" allowBlank="1" showInputMessage="1" showErrorMessage="1" prompt="1 - Rara vez_x000a_2 - Improbable_x000a_3 - Posible_x000a_4 - Probable_x000a_5 - Casi Seguro" xr:uid="{00000000-0002-0000-0000-000013000000}">
          <x14:formula1>
            <xm:f>'C:\Users\jcabrejo\Downloads\[2023_14_MRC_Gestion Financiera.xlsx]Listas'!#REF!</xm:f>
          </x14:formula1>
          <xm:sqref>H14:H16 AF14:AF16</xm:sqref>
        </x14:dataValidation>
        <x14:dataValidation type="list" allowBlank="1" showInputMessage="1" showErrorMessage="1" xr:uid="{00000000-0002-0000-0000-000014000000}">
          <x14:formula1>
            <xm:f>'C:\Users\jcabrejo\Downloads\[2) 1- MAPA DE RIESGOS DE CORRUPCIÓN V 2023 solo 1 (1) (1).xlsx]Listas'!#REF!</xm:f>
          </x14:formula1>
          <xm:sqref>AJ17:AJ18 C17:D18 AB17 Z17 X17 V17 T17 R17 M17:P17</xm:sqref>
        </x14:dataValidation>
        <x14:dataValidation type="list" allowBlank="1" showInputMessage="1" showErrorMessage="1" prompt="1 - Insignificante_x000a_2 - Menor_x000a_3 - Moderado_x000a_4 - Mayor_x000a_5 - Catastrófico" xr:uid="{00000000-0002-0000-0000-000015000000}">
          <x14:formula1>
            <xm:f>'C:\Users\jcabrejo\Downloads\[2) 1- MAPA DE RIESGOS DE CORRUPCIÓN V 2023 solo 1 (1) (1).xlsx]Listas'!#REF!</xm:f>
          </x14:formula1>
          <xm:sqref>I17:I18 AG17:AG18</xm:sqref>
        </x14:dataValidation>
        <x14:dataValidation type="list" allowBlank="1" showInputMessage="1" showErrorMessage="1" prompt="1 - Rara vez_x000a_2 - Improbable_x000a_3 - Posible_x000a_4 - Probable_x000a_5 - Casi Seguro" xr:uid="{00000000-0002-0000-0000-000016000000}">
          <x14:formula1>
            <xm:f>'C:\Users\jcabrejo\Downloads\[2) 1- MAPA DE RIESGOS DE CORRUPCIÓN V 2023 solo 1 (1) (1).xlsx]Listas'!#REF!</xm:f>
          </x14:formula1>
          <xm:sqref>H17:H18 AF17:AF18</xm:sqref>
        </x14:dataValidation>
        <x14:dataValidation type="list" allowBlank="1" showInputMessage="1" showErrorMessage="1" xr:uid="{00000000-0002-0000-0000-000017000000}">
          <x14:formula1>
            <xm:f>'C:\Users\jcabrejo\Downloads\[2) MAPA DE RIESGOS DE CORRUPCIÓN V 2023 (1).xlsx]Listas'!#REF!</xm:f>
          </x14:formula1>
          <xm:sqref>C29:C31 C19:D21 C24:D24 D29 AB19 AB24 AB29 Z19 Z24 Z29 X19 X24 X29 V19 V24 V29 T19 T24 T29 R19 R24 R29 M19:P19 M24:P24 M29:P29 AJ19:AJ33</xm:sqref>
        </x14:dataValidation>
        <x14:dataValidation type="list" allowBlank="1" showInputMessage="1" showErrorMessage="1" prompt="1 - Insignificante_x000a_2 - Menor_x000a_3 - Moderado_x000a_4 - Mayor_x000a_5 - Catastrófico" xr:uid="{00000000-0002-0000-0000-000018000000}">
          <x14:formula1>
            <xm:f>'C:\Users\jcabrejo\Downloads\[2) MAPA DE RIESGOS DE CORRUPCIÓN V 2023 (1).xlsx]Listas'!#REF!</xm:f>
          </x14:formula1>
          <xm:sqref>I19:I33 AG19:AG33</xm:sqref>
        </x14:dataValidation>
        <x14:dataValidation type="list" allowBlank="1" showInputMessage="1" showErrorMessage="1" prompt="1 - Rara vez_x000a_2 - Improbable_x000a_3 - Posible_x000a_4 - Probable_x000a_5 - Casi Seguro" xr:uid="{00000000-0002-0000-0000-000019000000}">
          <x14:formula1>
            <xm:f>'C:\Users\jcabrejo\Downloads\[2) MAPA DE RIESGOS DE CORRUPCIÓN V 2023 (1).xlsx]Listas'!#REF!</xm:f>
          </x14:formula1>
          <xm:sqref>H19:H33 AF19:AF33</xm:sqref>
        </x14:dataValidation>
        <x14:dataValidation type="list" allowBlank="1" showInputMessage="1" showErrorMessage="1" xr:uid="{00000000-0002-0000-0000-00001A000000}">
          <x14:formula1>
            <xm:f>'C:\Users\jcabrejo\Downloads\[2.MAPA DE RIESGOS DE CORRUPCIÓN V 2023 PROCESO EVALUACION INDEPENDIENTE.xlsx]Listas'!#REF!</xm:f>
          </x14:formula1>
          <xm:sqref>C34:D34 AB34 Z34 X34 V34 T34 R34 M34:P34 AJ34:AJ38</xm:sqref>
        </x14:dataValidation>
        <x14:dataValidation type="list" allowBlank="1" showInputMessage="1" showErrorMessage="1" prompt="1 - Insignificante_x000a_2 - Menor_x000a_3 - Moderado_x000a_4 - Mayor_x000a_5 - Catastrófico" xr:uid="{00000000-0002-0000-0000-00001B000000}">
          <x14:formula1>
            <xm:f>'C:\Users\jcabrejo\Downloads\[2.MAPA DE RIESGOS DE CORRUPCIÓN V 2023 PROCESO EVALUACION INDEPENDIENTE.xlsx]Listas'!#REF!</xm:f>
          </x14:formula1>
          <xm:sqref>I34:I38 AG34:AG38</xm:sqref>
        </x14:dataValidation>
        <x14:dataValidation type="list" allowBlank="1" showInputMessage="1" showErrorMessage="1" prompt="1 - Rara vez_x000a_2 - Improbable_x000a_3 - Posible_x000a_4 - Probable_x000a_5 - Casi Seguro" xr:uid="{00000000-0002-0000-0000-00001C000000}">
          <x14:formula1>
            <xm:f>'C:\Users\jcabrejo\Downloads\[2.MAPA DE RIESGOS DE CORRUPCIÓN V 2023 PROCESO EVALUACION INDEPENDIENTE.xlsx]Listas'!#REF!</xm:f>
          </x14:formula1>
          <xm:sqref>H34:H38 AF34:AF38</xm:sqref>
        </x14:dataValidation>
        <x14:dataValidation type="list" allowBlank="1" showInputMessage="1" showErrorMessage="1" xr:uid="{00000000-0002-0000-0000-00001D000000}">
          <x14:formula1>
            <xm:f>'C:\Users\jcabrejo\Documents\APOYO RIESGOS+CIGD\RIESGOS DE CORRUPCIÓN_2023\[MAPA DE RIESGOS DE CORRUPCIÓN TH  V 2023.xlsx]Listas'!#REF!</xm:f>
          </x14:formula1>
          <xm:sqref>C39:D39 AB39:AB43 Z39:Z43 X39:X43 V39:V43 T39:T43 R39:R43 M39:P43 AJ39:AJ43</xm:sqref>
        </x14:dataValidation>
        <x14:dataValidation type="list" allowBlank="1" showInputMessage="1" showErrorMessage="1" prompt="1 - Insignificante_x000a_2 - Menor_x000a_3 - Moderado_x000a_4 - Mayor_x000a_5 - Catastrófico" xr:uid="{00000000-0002-0000-0000-000020000000}">
          <x14:formula1>
            <xm:f>'C:\Users\jcabrejo\Documents\APOYO RIESGOS+CIGD\RIESGOS DE CORRUPCIÓN_2023\[MAPA DE RIESGOS DE CORRUPCIÓN TH  V 2023.xlsx]Listas'!#REF!</xm:f>
          </x14:formula1>
          <xm:sqref>I39:I43 AG39:AG43</xm:sqref>
        </x14:dataValidation>
        <x14:dataValidation type="list" allowBlank="1" showInputMessage="1" showErrorMessage="1" prompt="1 - Rara vez_x000a_2 - Improbable_x000a_3 - Posible_x000a_4 - Probable_x000a_5 - Casi Seguro" xr:uid="{00000000-0002-0000-0000-000021000000}">
          <x14:formula1>
            <xm:f>'C:\Users\jcabrejo\Documents\APOYO RIESGOS+CIGD\RIESGOS DE CORRUPCIÓN_2023\[MAPA DE RIESGOS DE CORRUPCIÓN TH  V 2023.xlsx]Listas'!#REF!</xm:f>
          </x14:formula1>
          <xm:sqref>H39:H43 AF39:AF43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DA735ADD95B4F42BDBFD23859872EEE" ma:contentTypeVersion="0" ma:contentTypeDescription="Crear nuevo documento." ma:contentTypeScope="" ma:versionID="dd637ab743dc175efab17bdce857dbd1">
  <xsd:schema xmlns:xsd="http://www.w3.org/2001/XMLSchema" xmlns:xs="http://www.w3.org/2001/XMLSchema" xmlns:p="http://schemas.microsoft.com/office/2006/metadata/properties" xmlns:ns2="b88267a5-0852-4714-9a11-4aa7c350c1c2" xmlns:ns3="2e1b66e6-84d5-4201-88fb-3f6ff4bcf672" targetNamespace="http://schemas.microsoft.com/office/2006/metadata/properties" ma:root="true" ma:fieldsID="bf043a961b04f75562345f9a374be914" ns2:_="" ns3:_="">
    <xsd:import namespace="b88267a5-0852-4714-9a11-4aa7c350c1c2"/>
    <xsd:import namespace="2e1b66e6-84d5-4201-88fb-3f6ff4bcf672"/>
    <xsd:element name="properties">
      <xsd:complexType>
        <xsd:sequence>
          <xsd:element name="documentManagement">
            <xsd:complexType>
              <xsd:all>
                <xsd:element ref="ns2:SharedWithUsers" minOccurs="0"/>
                <xsd:element ref="ns2: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267a5-0852-4714-9a11-4aa7c350c1c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b66e6-84d5-4201-88fb-3f6ff4bcf672" elementFormDefault="qualified">
    <xsd:import namespace="http://schemas.microsoft.com/office/2006/documentManagement/types"/>
    <xsd:import namespace="http://schemas.microsoft.com/office/infopath/2007/PartnerControls"/>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3CC8C-1082-4006-8E59-38AE0BF1F74B}">
  <ds:schemaRefs>
    <ds:schemaRef ds:uri="http://schemas.microsoft.com/sharepoint/v3/contenttype/forms"/>
  </ds:schemaRefs>
</ds:datastoreItem>
</file>

<file path=customXml/itemProps2.xml><?xml version="1.0" encoding="utf-8"?>
<ds:datastoreItem xmlns:ds="http://schemas.openxmlformats.org/officeDocument/2006/customXml" ds:itemID="{FE8C3ECA-5554-47EC-BD71-EAF7C121366E}">
  <ds:schemaRefs>
    <ds:schemaRef ds:uri="2e1b66e6-84d5-4201-88fb-3f6ff4bcf672"/>
    <ds:schemaRef ds:uri="http://purl.org/dc/terms/"/>
    <ds:schemaRef ds:uri="b88267a5-0852-4714-9a11-4aa7c350c1c2"/>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116E997-EADA-4320-B3C6-01F75F2C8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267a5-0852-4714-9a11-4aa7c350c1c2"/>
    <ds:schemaRef ds:uri="2e1b66e6-84d5-4201-88fb-3f6ff4bcf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Mapa de Riesgo_Corrupción</vt:lpstr>
      <vt:lpstr>'Mapa de Riesgo_Corrupción'!Títulos_a_imprimir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Carolina Avila</cp:lastModifiedBy>
  <cp:lastPrinted>2016-05-10T19:22:49Z</cp:lastPrinted>
  <dcterms:created xsi:type="dcterms:W3CDTF">2014-03-06T13:40:48Z</dcterms:created>
  <dcterms:modified xsi:type="dcterms:W3CDTF">2023-01-27T20:08:51Z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0x010100ADA735ADD95B4F42BDBFD23859872EEE</vt:lpwstr>
  </property>
</Properties>
</file>