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Transparencia Ley 1712-2014\6-Planeacion\6.4-Metas, objetivos, indicadores\1 Planes Institucionales\Planes institucionales 2019\"/>
    </mc:Choice>
  </mc:AlternateContent>
  <bookViews>
    <workbookView xWindow="0" yWindow="0" windowWidth="24000" windowHeight="8745"/>
  </bookViews>
  <sheets>
    <sheet name="PAAC DEF" sheetId="8" r:id="rId1"/>
    <sheet name="Actualizacion Mapa Riesgos Corr" sheetId="10" r:id="rId2"/>
    <sheet name="Seguimiento Mapa Riesgos " sheetId="11" r:id="rId3"/>
    <sheet name="Rendición de Ctas" sheetId="9" r:id="rId4"/>
    <sheet name="1er Mapa Riesgos Corrupcion" sheetId="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0">'PAAC DEF'!$A$1:$R$49</definedName>
    <definedName name="_xlnm.Print_Area" localSheetId="3">'Rendición de Ctas'!$A$1:$N$24</definedName>
    <definedName name="_xlnm.Print_Titles" localSheetId="4">'1er Mapa Riesgos Corrupcion'!$8:$9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9" l="1"/>
  <c r="L20" i="9"/>
  <c r="L18" i="9"/>
  <c r="L15" i="9"/>
  <c r="AL45" i="11" l="1"/>
  <c r="AK45" i="11"/>
  <c r="AG45" i="11"/>
  <c r="AH45" i="11" s="1"/>
  <c r="N45" i="11"/>
  <c r="M45" i="11"/>
  <c r="AF43" i="11"/>
  <c r="AD43" i="11"/>
  <c r="AB43" i="11"/>
  <c r="Z43" i="11"/>
  <c r="X43" i="11"/>
  <c r="V43" i="11"/>
  <c r="T43" i="11"/>
  <c r="AF42" i="11"/>
  <c r="AD42" i="11"/>
  <c r="AB42" i="11"/>
  <c r="Z42" i="11"/>
  <c r="X42" i="11"/>
  <c r="V42" i="11"/>
  <c r="T42" i="11"/>
  <c r="AL41" i="11"/>
  <c r="AK41" i="11"/>
  <c r="AF41" i="11"/>
  <c r="AD41" i="11"/>
  <c r="AB41" i="11"/>
  <c r="Z41" i="11"/>
  <c r="X41" i="11"/>
  <c r="V41" i="11"/>
  <c r="T41" i="11"/>
  <c r="N41" i="11"/>
  <c r="M41" i="11"/>
  <c r="AF40" i="11"/>
  <c r="AD40" i="11"/>
  <c r="AB40" i="11"/>
  <c r="Z40" i="11"/>
  <c r="X40" i="11"/>
  <c r="V40" i="11"/>
  <c r="T40" i="11"/>
  <c r="AF39" i="11"/>
  <c r="AD39" i="11"/>
  <c r="AB39" i="11"/>
  <c r="Z39" i="11"/>
  <c r="X39" i="11"/>
  <c r="V39" i="11"/>
  <c r="T39" i="11"/>
  <c r="AL38" i="11"/>
  <c r="AK38" i="11"/>
  <c r="AF38" i="11"/>
  <c r="AD38" i="11"/>
  <c r="AB38" i="11"/>
  <c r="Z38" i="11"/>
  <c r="X38" i="11"/>
  <c r="V38" i="11"/>
  <c r="T38" i="11"/>
  <c r="N38" i="11"/>
  <c r="M38" i="11"/>
  <c r="AL36" i="11"/>
  <c r="AK36" i="11"/>
  <c r="AF36" i="11"/>
  <c r="AD36" i="11"/>
  <c r="AB36" i="11"/>
  <c r="Z36" i="11"/>
  <c r="X36" i="11"/>
  <c r="V36" i="11"/>
  <c r="T36" i="11"/>
  <c r="N36" i="11"/>
  <c r="M36" i="11"/>
  <c r="AF35" i="11"/>
  <c r="AD35" i="11"/>
  <c r="AB35" i="11"/>
  <c r="Z35" i="11"/>
  <c r="X35" i="11"/>
  <c r="V35" i="11"/>
  <c r="T35" i="11"/>
  <c r="AL34" i="11"/>
  <c r="AK34" i="11"/>
  <c r="AF34" i="11"/>
  <c r="AD34" i="11"/>
  <c r="AB34" i="11"/>
  <c r="Z34" i="11"/>
  <c r="X34" i="11"/>
  <c r="V34" i="11"/>
  <c r="T34" i="11"/>
  <c r="N34" i="11"/>
  <c r="M34" i="11"/>
  <c r="AL33" i="11"/>
  <c r="AK33" i="11"/>
  <c r="AF33" i="11"/>
  <c r="AD33" i="11"/>
  <c r="AB33" i="11"/>
  <c r="Z33" i="11"/>
  <c r="X33" i="11"/>
  <c r="V33" i="11"/>
  <c r="T33" i="11"/>
  <c r="N33" i="11"/>
  <c r="M33" i="11"/>
  <c r="AF32" i="11"/>
  <c r="AD32" i="11"/>
  <c r="AB32" i="11"/>
  <c r="Z32" i="11"/>
  <c r="X32" i="11"/>
  <c r="V32" i="11"/>
  <c r="T32" i="11"/>
  <c r="AL31" i="11"/>
  <c r="AK31" i="11"/>
  <c r="AF31" i="11"/>
  <c r="AD31" i="11"/>
  <c r="AB31" i="11"/>
  <c r="Z31" i="11"/>
  <c r="X31" i="11"/>
  <c r="V31" i="11"/>
  <c r="T31" i="11"/>
  <c r="N31" i="11"/>
  <c r="M31" i="11"/>
  <c r="AL30" i="11"/>
  <c r="AK30" i="11"/>
  <c r="AF30" i="11"/>
  <c r="AD30" i="11"/>
  <c r="AB30" i="11"/>
  <c r="Z30" i="11"/>
  <c r="X30" i="11"/>
  <c r="V30" i="11"/>
  <c r="T30" i="11"/>
  <c r="N30" i="11"/>
  <c r="M30" i="11"/>
  <c r="AL29" i="11"/>
  <c r="AK29" i="11"/>
  <c r="AF29" i="11"/>
  <c r="AD29" i="11"/>
  <c r="AB29" i="11"/>
  <c r="Z29" i="11"/>
  <c r="N29" i="11"/>
  <c r="M29" i="11"/>
  <c r="AL28" i="11"/>
  <c r="AK28" i="11"/>
  <c r="AF28" i="11"/>
  <c r="AD28" i="11"/>
  <c r="AB28" i="11"/>
  <c r="Z28" i="11"/>
  <c r="X28" i="11"/>
  <c r="V28" i="11"/>
  <c r="T28" i="11"/>
  <c r="N28" i="11"/>
  <c r="M28" i="11"/>
  <c r="AL27" i="11"/>
  <c r="AF27" i="11"/>
  <c r="AD27" i="11"/>
  <c r="AB27" i="11"/>
  <c r="Z27" i="11"/>
  <c r="X27" i="11"/>
  <c r="V27" i="11"/>
  <c r="T27" i="11"/>
  <c r="N27" i="11"/>
  <c r="M27" i="11"/>
  <c r="AL26" i="11"/>
  <c r="AF26" i="11"/>
  <c r="AD26" i="11"/>
  <c r="AB26" i="11"/>
  <c r="Z26" i="11"/>
  <c r="X26" i="11"/>
  <c r="V26" i="11"/>
  <c r="T26" i="11"/>
  <c r="N26" i="11"/>
  <c r="M26" i="11"/>
  <c r="AL22" i="11"/>
  <c r="AK22" i="11"/>
  <c r="AF22" i="11"/>
  <c r="AD22" i="11"/>
  <c r="AB22" i="11"/>
  <c r="Z22" i="11"/>
  <c r="X22" i="11"/>
  <c r="V22" i="11"/>
  <c r="T22" i="11"/>
  <c r="N22" i="11"/>
  <c r="M22" i="11"/>
  <c r="AL20" i="11"/>
  <c r="AK20" i="11"/>
  <c r="AF20" i="11"/>
  <c r="AD20" i="11"/>
  <c r="AB20" i="11"/>
  <c r="Z20" i="11"/>
  <c r="X20" i="11"/>
  <c r="V20" i="11"/>
  <c r="T20" i="11"/>
  <c r="N20" i="11"/>
  <c r="M20" i="11"/>
  <c r="AL16" i="11"/>
  <c r="AK16" i="11"/>
  <c r="AF16" i="11"/>
  <c r="AD16" i="11"/>
  <c r="AB16" i="11"/>
  <c r="Z16" i="11"/>
  <c r="X16" i="11"/>
  <c r="V16" i="11"/>
  <c r="T16" i="11"/>
  <c r="N16" i="11"/>
  <c r="M16" i="11"/>
  <c r="AF15" i="11"/>
  <c r="AD15" i="11"/>
  <c r="AB15" i="11"/>
  <c r="Z15" i="11"/>
  <c r="X15" i="11"/>
  <c r="V15" i="11"/>
  <c r="T15" i="11"/>
  <c r="N15" i="11"/>
  <c r="M15" i="11"/>
  <c r="AL12" i="11"/>
  <c r="AK12" i="11"/>
  <c r="AF12" i="11"/>
  <c r="AD12" i="11"/>
  <c r="AB12" i="11"/>
  <c r="Z12" i="11"/>
  <c r="X12" i="11"/>
  <c r="V12" i="11"/>
  <c r="T12" i="11"/>
  <c r="N12" i="11"/>
  <c r="M12" i="11"/>
  <c r="AL11" i="11"/>
  <c r="AK11" i="11"/>
  <c r="AF11" i="11"/>
  <c r="AD11" i="11"/>
  <c r="AB11" i="11"/>
  <c r="Z11" i="11"/>
  <c r="X11" i="11"/>
  <c r="V11" i="11"/>
  <c r="T11" i="11"/>
  <c r="N11" i="11"/>
  <c r="M11" i="11"/>
  <c r="AL10" i="11"/>
  <c r="AK10" i="11"/>
  <c r="AF10" i="11"/>
  <c r="AD10" i="11"/>
  <c r="AB10" i="11"/>
  <c r="Z10" i="11"/>
  <c r="X10" i="11"/>
  <c r="V10" i="11"/>
  <c r="T10" i="11"/>
  <c r="N10" i="11"/>
  <c r="M10" i="11"/>
  <c r="AG36" i="11" l="1"/>
  <c r="AH36" i="11" s="1"/>
  <c r="AG22" i="11"/>
  <c r="AG12" i="11"/>
  <c r="AH12" i="11" s="1"/>
  <c r="AG29" i="11"/>
  <c r="AH29" i="11" s="1"/>
  <c r="AG27" i="11"/>
  <c r="AH27" i="11" s="1"/>
  <c r="AI27" i="11" s="1"/>
  <c r="AG35" i="11"/>
  <c r="AG20" i="11"/>
  <c r="AH20" i="11" s="1"/>
  <c r="AG31" i="11"/>
  <c r="AG34" i="11"/>
  <c r="AG10" i="11"/>
  <c r="AH10" i="11" s="1"/>
  <c r="AG32" i="11"/>
  <c r="AG41" i="11"/>
  <c r="AG43" i="11"/>
  <c r="AG33" i="11"/>
  <c r="AH33" i="11" s="1"/>
  <c r="AG38" i="11"/>
  <c r="AH38" i="11" s="1"/>
  <c r="AG42" i="11"/>
  <c r="AG15" i="11"/>
  <c r="AG16" i="11"/>
  <c r="AG28" i="11"/>
  <c r="AH28" i="11" s="1"/>
  <c r="AG11" i="11"/>
  <c r="AH11" i="11" s="1"/>
  <c r="AG26" i="11"/>
  <c r="AH26" i="11" s="1"/>
  <c r="AI26" i="11" s="1"/>
  <c r="AG30" i="11"/>
  <c r="AH30" i="11" s="1"/>
  <c r="AL33" i="10"/>
  <c r="AK33" i="10"/>
  <c r="AF33" i="10"/>
  <c r="AD33" i="10"/>
  <c r="AB33" i="10"/>
  <c r="Z33" i="10"/>
  <c r="X33" i="10"/>
  <c r="V33" i="10"/>
  <c r="T33" i="10"/>
  <c r="N33" i="10"/>
  <c r="M33" i="10"/>
  <c r="AF32" i="10"/>
  <c r="AD32" i="10"/>
  <c r="AB32" i="10"/>
  <c r="Z32" i="10"/>
  <c r="X32" i="10"/>
  <c r="V32" i="10"/>
  <c r="T32" i="10"/>
  <c r="AL31" i="10"/>
  <c r="AK31" i="10"/>
  <c r="AF31" i="10"/>
  <c r="AD31" i="10"/>
  <c r="AB31" i="10"/>
  <c r="Z31" i="10"/>
  <c r="X31" i="10"/>
  <c r="V31" i="10"/>
  <c r="T31" i="10"/>
  <c r="N31" i="10"/>
  <c r="M31" i="10"/>
  <c r="AH34" i="11" l="1"/>
  <c r="AG32" i="10"/>
  <c r="AH41" i="11"/>
  <c r="AG31" i="10"/>
  <c r="AG33" i="10"/>
  <c r="AH33" i="10" s="1"/>
  <c r="AL30" i="10"/>
  <c r="AK30" i="10"/>
  <c r="AF30" i="10"/>
  <c r="AD30" i="10"/>
  <c r="AB30" i="10"/>
  <c r="Z30" i="10"/>
  <c r="X30" i="10"/>
  <c r="V30" i="10"/>
  <c r="T30" i="10"/>
  <c r="N30" i="10"/>
  <c r="M30" i="10"/>
  <c r="AG30" i="10" l="1"/>
  <c r="AH30" i="10" s="1"/>
  <c r="M28" i="10"/>
  <c r="N28" i="10"/>
  <c r="T28" i="10"/>
  <c r="V28" i="10"/>
  <c r="X28" i="10"/>
  <c r="Z28" i="10"/>
  <c r="AB28" i="10"/>
  <c r="AD28" i="10"/>
  <c r="AF28" i="10"/>
  <c r="AK28" i="10"/>
  <c r="AL28" i="10"/>
  <c r="M29" i="10"/>
  <c r="N29" i="10"/>
  <c r="Z29" i="10"/>
  <c r="AB29" i="10"/>
  <c r="AD29" i="10"/>
  <c r="AF29" i="10"/>
  <c r="AK29" i="10"/>
  <c r="AL29" i="10"/>
  <c r="AG28" i="10" l="1"/>
  <c r="AH28" i="10" s="1"/>
  <c r="AG29" i="10"/>
  <c r="AH29" i="10" s="1"/>
  <c r="AL27" i="10"/>
  <c r="AF27" i="10"/>
  <c r="AD27" i="10"/>
  <c r="AB27" i="10"/>
  <c r="Z27" i="10"/>
  <c r="X27" i="10"/>
  <c r="V27" i="10"/>
  <c r="T27" i="10"/>
  <c r="N27" i="10"/>
  <c r="M27" i="10"/>
  <c r="AL26" i="10"/>
  <c r="AF26" i="10"/>
  <c r="AD26" i="10"/>
  <c r="AB26" i="10"/>
  <c r="Z26" i="10"/>
  <c r="X26" i="10"/>
  <c r="V26" i="10"/>
  <c r="T26" i="10"/>
  <c r="N26" i="10"/>
  <c r="M26" i="10"/>
  <c r="AG27" i="10" l="1"/>
  <c r="AH27" i="10" s="1"/>
  <c r="AI27" i="10" s="1"/>
  <c r="AG26" i="10"/>
  <c r="AH26" i="10" s="1"/>
  <c r="AI26" i="10" s="1"/>
  <c r="AL11" i="10" l="1"/>
  <c r="AK11" i="10"/>
  <c r="AF11" i="10"/>
  <c r="AD11" i="10"/>
  <c r="AB11" i="10"/>
  <c r="Z11" i="10"/>
  <c r="X11" i="10"/>
  <c r="V11" i="10"/>
  <c r="T11" i="10"/>
  <c r="N11" i="10"/>
  <c r="M11" i="10"/>
  <c r="AG11" i="10" l="1"/>
  <c r="AH11" i="10" s="1"/>
  <c r="AL10" i="10" l="1"/>
  <c r="AK10" i="10"/>
  <c r="AF10" i="10"/>
  <c r="AD10" i="10"/>
  <c r="AB10" i="10"/>
  <c r="Z10" i="10"/>
  <c r="X10" i="10"/>
  <c r="V10" i="10"/>
  <c r="T10" i="10"/>
  <c r="N10" i="10"/>
  <c r="M10" i="10"/>
  <c r="AG10" i="10" l="1"/>
  <c r="AH10" i="10" s="1"/>
  <c r="AL36" i="10" l="1"/>
  <c r="AK36" i="10"/>
  <c r="AF36" i="10"/>
  <c r="AD36" i="10"/>
  <c r="AB36" i="10"/>
  <c r="Z36" i="10"/>
  <c r="X36" i="10"/>
  <c r="V36" i="10"/>
  <c r="T36" i="10"/>
  <c r="N36" i="10"/>
  <c r="M36" i="10"/>
  <c r="AF35" i="10"/>
  <c r="AD35" i="10"/>
  <c r="AB35" i="10"/>
  <c r="Z35" i="10"/>
  <c r="X35" i="10"/>
  <c r="V35" i="10"/>
  <c r="T35" i="10"/>
  <c r="AL34" i="10"/>
  <c r="AK34" i="10"/>
  <c r="AF34" i="10"/>
  <c r="AD34" i="10"/>
  <c r="AB34" i="10"/>
  <c r="Z34" i="10"/>
  <c r="X34" i="10"/>
  <c r="V34" i="10"/>
  <c r="T34" i="10"/>
  <c r="N34" i="10"/>
  <c r="M34" i="10"/>
  <c r="AG34" i="10" l="1"/>
  <c r="AG35" i="10"/>
  <c r="AG36" i="10"/>
  <c r="AH36" i="10" s="1"/>
  <c r="AL47" i="10"/>
  <c r="AK47" i="10"/>
  <c r="N47" i="10"/>
  <c r="M47" i="10"/>
  <c r="AH34" i="10" l="1"/>
  <c r="AG47" i="10"/>
  <c r="AH47" i="10" s="1"/>
  <c r="AF45" i="10" l="1"/>
  <c r="AD45" i="10"/>
  <c r="AB45" i="10"/>
  <c r="Z45" i="10"/>
  <c r="X45" i="10"/>
  <c r="V45" i="10"/>
  <c r="T45" i="10"/>
  <c r="AF44" i="10"/>
  <c r="AD44" i="10"/>
  <c r="AB44" i="10"/>
  <c r="Z44" i="10"/>
  <c r="X44" i="10"/>
  <c r="V44" i="10"/>
  <c r="T44" i="10"/>
  <c r="AL43" i="10"/>
  <c r="AK43" i="10"/>
  <c r="AF43" i="10"/>
  <c r="AD43" i="10"/>
  <c r="AB43" i="10"/>
  <c r="Z43" i="10"/>
  <c r="X43" i="10"/>
  <c r="V43" i="10"/>
  <c r="T43" i="10"/>
  <c r="N43" i="10"/>
  <c r="M43" i="10"/>
  <c r="AG43" i="10" l="1"/>
  <c r="AG45" i="10"/>
  <c r="AG44" i="10"/>
  <c r="AH43" i="10" l="1"/>
  <c r="AF42" i="10"/>
  <c r="AD42" i="10"/>
  <c r="AB42" i="10"/>
  <c r="Z42" i="10"/>
  <c r="X42" i="10"/>
  <c r="V42" i="10"/>
  <c r="T42" i="10"/>
  <c r="AF41" i="10"/>
  <c r="AD41" i="10"/>
  <c r="AB41" i="10"/>
  <c r="Z41" i="10"/>
  <c r="X41" i="10"/>
  <c r="V41" i="10"/>
  <c r="T41" i="10"/>
  <c r="AF40" i="10"/>
  <c r="AD40" i="10"/>
  <c r="AB40" i="10"/>
  <c r="Z40" i="10"/>
  <c r="X40" i="10"/>
  <c r="V40" i="10"/>
  <c r="T40" i="10"/>
  <c r="AF39" i="10"/>
  <c r="AD39" i="10"/>
  <c r="AB39" i="10"/>
  <c r="Z39" i="10"/>
  <c r="X39" i="10"/>
  <c r="V39" i="10"/>
  <c r="T39" i="10"/>
  <c r="AL38" i="10"/>
  <c r="AK38" i="10"/>
  <c r="AF38" i="10"/>
  <c r="AD38" i="10"/>
  <c r="AB38" i="10"/>
  <c r="Z38" i="10"/>
  <c r="X38" i="10"/>
  <c r="V38" i="10"/>
  <c r="T38" i="10"/>
  <c r="N38" i="10"/>
  <c r="M38" i="10"/>
  <c r="AG38" i="10" l="1"/>
  <c r="AH38" i="10" s="1"/>
  <c r="M22" i="10" l="1"/>
  <c r="N22" i="10"/>
  <c r="T22" i="10"/>
  <c r="V22" i="10"/>
  <c r="X22" i="10"/>
  <c r="Z22" i="10"/>
  <c r="AB22" i="10"/>
  <c r="AD22" i="10"/>
  <c r="AF22" i="10"/>
  <c r="AK22" i="10"/>
  <c r="AL22" i="10"/>
  <c r="AG22" i="10" l="1"/>
  <c r="AL20" i="10"/>
  <c r="AK20" i="10"/>
  <c r="AF20" i="10"/>
  <c r="AD20" i="10"/>
  <c r="AB20" i="10"/>
  <c r="Z20" i="10"/>
  <c r="X20" i="10"/>
  <c r="V20" i="10"/>
  <c r="T20" i="10"/>
  <c r="N20" i="10"/>
  <c r="M20" i="10"/>
  <c r="AG20" i="10" l="1"/>
  <c r="AH20" i="10" s="1"/>
  <c r="AL16" i="10"/>
  <c r="AK16" i="10"/>
  <c r="AF16" i="10"/>
  <c r="AD16" i="10"/>
  <c r="AB16" i="10"/>
  <c r="Z16" i="10"/>
  <c r="X16" i="10"/>
  <c r="V16" i="10"/>
  <c r="T16" i="10"/>
  <c r="N16" i="10"/>
  <c r="M16" i="10"/>
  <c r="AF15" i="10"/>
  <c r="AD15" i="10"/>
  <c r="AB15" i="10"/>
  <c r="Z15" i="10"/>
  <c r="X15" i="10"/>
  <c r="V15" i="10"/>
  <c r="T15" i="10"/>
  <c r="N15" i="10"/>
  <c r="M15" i="10"/>
  <c r="AL12" i="10"/>
  <c r="AK12" i="10"/>
  <c r="AF12" i="10"/>
  <c r="AD12" i="10"/>
  <c r="AB12" i="10"/>
  <c r="Z12" i="10"/>
  <c r="X12" i="10"/>
  <c r="V12" i="10"/>
  <c r="T12" i="10"/>
  <c r="N12" i="10"/>
  <c r="M12" i="10"/>
  <c r="AG16" i="10" l="1"/>
  <c r="AG12" i="10"/>
  <c r="AH12" i="10" s="1"/>
  <c r="AG15" i="10"/>
  <c r="L29" i="8" l="1"/>
  <c r="X50" i="3" l="1"/>
  <c r="J40" i="8" l="1"/>
  <c r="B22" i="8" l="1"/>
  <c r="A50" i="3"/>
  <c r="L49" i="3"/>
  <c r="M50" i="3" s="1"/>
  <c r="I49" i="3"/>
  <c r="J49" i="3" s="1"/>
  <c r="L48" i="3"/>
  <c r="M48" i="3" s="1"/>
  <c r="N48" i="3" s="1"/>
  <c r="I48" i="3"/>
  <c r="O48" i="3" s="1"/>
  <c r="L47" i="3"/>
  <c r="M47" i="3" s="1"/>
  <c r="N47" i="3" s="1"/>
  <c r="I47" i="3"/>
  <c r="O47" i="3" s="1"/>
  <c r="L46" i="3"/>
  <c r="M46" i="3" s="1"/>
  <c r="N46" i="3" s="1"/>
  <c r="I46" i="3"/>
  <c r="O46" i="3" s="1"/>
  <c r="L45" i="3"/>
  <c r="M45" i="3" s="1"/>
  <c r="N45" i="3" s="1"/>
  <c r="I45" i="3"/>
  <c r="O45" i="3" s="1"/>
  <c r="L44" i="3"/>
  <c r="M44" i="3" s="1"/>
  <c r="N44" i="3" s="1"/>
  <c r="I44" i="3"/>
  <c r="J44" i="3" s="1"/>
  <c r="L43" i="3"/>
  <c r="M43" i="3" s="1"/>
  <c r="N43" i="3" s="1"/>
  <c r="I43" i="3"/>
  <c r="O43" i="3" s="1"/>
  <c r="L42" i="3"/>
  <c r="M42" i="3" s="1"/>
  <c r="N42" i="3" s="1"/>
  <c r="I42" i="3"/>
  <c r="J42" i="3" s="1"/>
  <c r="L41" i="3"/>
  <c r="M41" i="3" s="1"/>
  <c r="N41" i="3" s="1"/>
  <c r="I41" i="3"/>
  <c r="O41" i="3" s="1"/>
  <c r="L40" i="3"/>
  <c r="M40" i="3" s="1"/>
  <c r="N40" i="3" s="1"/>
  <c r="I40" i="3"/>
  <c r="O40" i="3" s="1"/>
  <c r="L39" i="3"/>
  <c r="M39" i="3" s="1"/>
  <c r="N39" i="3" s="1"/>
  <c r="I39" i="3"/>
  <c r="O39" i="3" s="1"/>
  <c r="L38" i="3"/>
  <c r="M38" i="3" s="1"/>
  <c r="N38" i="3" s="1"/>
  <c r="I38" i="3"/>
  <c r="O38" i="3" s="1"/>
  <c r="L37" i="3"/>
  <c r="M37" i="3" s="1"/>
  <c r="N37" i="3" s="1"/>
  <c r="I37" i="3"/>
  <c r="J37" i="3" s="1"/>
  <c r="L36" i="3"/>
  <c r="M36" i="3" s="1"/>
  <c r="N36" i="3" s="1"/>
  <c r="I36" i="3"/>
  <c r="O36" i="3" s="1"/>
  <c r="L35" i="3"/>
  <c r="M35" i="3" s="1"/>
  <c r="N35" i="3" s="1"/>
  <c r="I35" i="3"/>
  <c r="J35" i="3" s="1"/>
  <c r="L34" i="3"/>
  <c r="M34" i="3" s="1"/>
  <c r="N34" i="3" s="1"/>
  <c r="I34" i="3"/>
  <c r="J34" i="3" s="1"/>
  <c r="L33" i="3"/>
  <c r="I33" i="3"/>
  <c r="J33" i="3" s="1"/>
  <c r="L32" i="3"/>
  <c r="M32" i="3" s="1"/>
  <c r="N32" i="3" s="1"/>
  <c r="I32" i="3"/>
  <c r="O32" i="3" s="1"/>
  <c r="L31" i="3"/>
  <c r="M31" i="3" s="1"/>
  <c r="N31" i="3" s="1"/>
  <c r="I31" i="3"/>
  <c r="J31" i="3" s="1"/>
  <c r="L30" i="3"/>
  <c r="M30" i="3" s="1"/>
  <c r="N30" i="3" s="1"/>
  <c r="I30" i="3"/>
  <c r="O30" i="3" s="1"/>
  <c r="L29" i="3"/>
  <c r="M29" i="3" s="1"/>
  <c r="N29" i="3" s="1"/>
  <c r="I29" i="3"/>
  <c r="J29" i="3" s="1"/>
  <c r="L28" i="3"/>
  <c r="M28" i="3" s="1"/>
  <c r="N28" i="3" s="1"/>
  <c r="I28" i="3"/>
  <c r="O28" i="3" s="1"/>
  <c r="L27" i="3"/>
  <c r="M27" i="3" s="1"/>
  <c r="N27" i="3" s="1"/>
  <c r="I27" i="3"/>
  <c r="J27" i="3" s="1"/>
  <c r="L26" i="3"/>
  <c r="M26" i="3" s="1"/>
  <c r="N26" i="3" s="1"/>
  <c r="I26" i="3"/>
  <c r="J26" i="3" s="1"/>
  <c r="L25" i="3"/>
  <c r="M25" i="3" s="1"/>
  <c r="N25" i="3" s="1"/>
  <c r="I25" i="3"/>
  <c r="J25" i="3" s="1"/>
  <c r="L24" i="3"/>
  <c r="M24" i="3" s="1"/>
  <c r="N24" i="3" s="1"/>
  <c r="I24" i="3"/>
  <c r="O24" i="3" s="1"/>
  <c r="L23" i="3"/>
  <c r="M23" i="3" s="1"/>
  <c r="N23" i="3" s="1"/>
  <c r="I23" i="3"/>
  <c r="O23" i="3" s="1"/>
  <c r="L22" i="3"/>
  <c r="M22" i="3" s="1"/>
  <c r="N22" i="3" s="1"/>
  <c r="I22" i="3"/>
  <c r="J22" i="3" s="1"/>
  <c r="L21" i="3"/>
  <c r="M21" i="3" s="1"/>
  <c r="N21" i="3" s="1"/>
  <c r="I21" i="3"/>
  <c r="J21" i="3" s="1"/>
  <c r="L20" i="3"/>
  <c r="M20" i="3" s="1"/>
  <c r="N20" i="3" s="1"/>
  <c r="I20" i="3"/>
  <c r="O20" i="3" s="1"/>
  <c r="L19" i="3"/>
  <c r="M19" i="3" s="1"/>
  <c r="N19" i="3" s="1"/>
  <c r="I19" i="3"/>
  <c r="O19" i="3" s="1"/>
  <c r="L18" i="3"/>
  <c r="M18" i="3" s="1"/>
  <c r="N18" i="3" s="1"/>
  <c r="I18" i="3"/>
  <c r="O18" i="3" s="1"/>
  <c r="L17" i="3"/>
  <c r="M17" i="3" s="1"/>
  <c r="N17" i="3" s="1"/>
  <c r="I17" i="3"/>
  <c r="O17" i="3" s="1"/>
  <c r="L16" i="3"/>
  <c r="M16" i="3" s="1"/>
  <c r="N16" i="3" s="1"/>
  <c r="I16" i="3"/>
  <c r="J16" i="3" s="1"/>
  <c r="L15" i="3"/>
  <c r="M15" i="3" s="1"/>
  <c r="N15" i="3" s="1"/>
  <c r="I15" i="3"/>
  <c r="O15" i="3" s="1"/>
  <c r="L14" i="3"/>
  <c r="M14" i="3" s="1"/>
  <c r="N14" i="3" s="1"/>
  <c r="I14" i="3"/>
  <c r="O14" i="3" s="1"/>
  <c r="L13" i="3"/>
  <c r="M13" i="3" s="1"/>
  <c r="N13" i="3" s="1"/>
  <c r="I13" i="3"/>
  <c r="J13" i="3" s="1"/>
  <c r="L12" i="3"/>
  <c r="M12" i="3" s="1"/>
  <c r="N12" i="3" s="1"/>
  <c r="I12" i="3"/>
  <c r="J12" i="3" s="1"/>
  <c r="L11" i="3"/>
  <c r="M11" i="3" s="1"/>
  <c r="N11" i="3" s="1"/>
  <c r="I11" i="3"/>
  <c r="O11" i="3" s="1"/>
  <c r="E11" i="3"/>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L10" i="3"/>
  <c r="M10" i="3" s="1"/>
  <c r="N10" i="3" s="1"/>
  <c r="I10" i="3"/>
  <c r="J10" i="3" s="1"/>
  <c r="J46" i="3"/>
  <c r="M49" i="3"/>
  <c r="N49" i="3" s="1"/>
  <c r="J36" i="3" l="1"/>
  <c r="E50" i="3"/>
  <c r="O22" i="3"/>
  <c r="O26" i="3"/>
  <c r="O49" i="3"/>
  <c r="P49" i="3" s="1"/>
  <c r="J32" i="3"/>
  <c r="J17" i="3"/>
  <c r="J18" i="3"/>
  <c r="O44" i="3"/>
  <c r="P44" i="3" s="1"/>
  <c r="O25" i="3"/>
  <c r="P25" i="3" s="1"/>
  <c r="P48" i="3"/>
  <c r="P30" i="3"/>
  <c r="O13" i="3"/>
  <c r="P13" i="3" s="1"/>
  <c r="O21" i="3"/>
  <c r="P21" i="3" s="1"/>
  <c r="P20" i="3"/>
  <c r="O34" i="3"/>
  <c r="P34" i="3" s="1"/>
  <c r="J14" i="3"/>
  <c r="P38" i="3"/>
  <c r="O31" i="3"/>
  <c r="P31" i="3" s="1"/>
  <c r="O16" i="3"/>
  <c r="P16" i="3" s="1"/>
  <c r="P22" i="3"/>
  <c r="J47" i="3"/>
  <c r="J30" i="3"/>
  <c r="O10" i="3"/>
  <c r="P10" i="3" s="1"/>
  <c r="P18" i="3"/>
  <c r="P14" i="3"/>
  <c r="O29" i="3"/>
  <c r="P29" i="3" s="1"/>
  <c r="P43" i="3"/>
  <c r="J41" i="3"/>
  <c r="J39" i="3"/>
  <c r="M33" i="3"/>
  <c r="N33" i="3" s="1"/>
  <c r="P40" i="3"/>
  <c r="J43" i="3"/>
  <c r="O35" i="3"/>
  <c r="P35" i="3" s="1"/>
  <c r="J24" i="3"/>
  <c r="P26" i="3"/>
  <c r="J38" i="3"/>
  <c r="J40" i="3"/>
  <c r="P11" i="3"/>
  <c r="P15" i="3"/>
  <c r="P24" i="3"/>
  <c r="P17" i="3"/>
  <c r="P28" i="3"/>
  <c r="J48" i="3"/>
  <c r="O42" i="3"/>
  <c r="P42" i="3" s="1"/>
  <c r="P45" i="3"/>
  <c r="J28" i="3"/>
  <c r="O33" i="3"/>
  <c r="O12" i="3"/>
  <c r="P12" i="3" s="1"/>
  <c r="P19" i="3"/>
  <c r="P39" i="3"/>
  <c r="P41" i="3"/>
  <c r="P46" i="3"/>
  <c r="P47" i="3"/>
  <c r="P36" i="3"/>
  <c r="P32" i="3"/>
  <c r="P23" i="3"/>
  <c r="J15" i="3"/>
  <c r="J23" i="3"/>
  <c r="O37" i="3"/>
  <c r="P37" i="3" s="1"/>
  <c r="J19" i="3"/>
  <c r="J11" i="3"/>
  <c r="J45" i="3"/>
  <c r="O27" i="3"/>
  <c r="P27" i="3" s="1"/>
  <c r="P33" i="3" l="1"/>
  <c r="P50" i="3" s="1"/>
  <c r="O50" i="3" s="1"/>
  <c r="J50" i="3"/>
  <c r="I50" i="3" s="1"/>
</calcChain>
</file>

<file path=xl/comments1.xml><?xml version="1.0" encoding="utf-8"?>
<comments xmlns="http://schemas.openxmlformats.org/spreadsheetml/2006/main">
  <authors>
    <author>Carolina Ramos</author>
    <author>Carmen Catalina Arango Barbaran</author>
  </authors>
  <commentList>
    <comment ref="D8" authorId="0" shapeId="0">
      <text>
        <r>
          <rPr>
            <b/>
            <sz val="9"/>
            <color rgb="FF000000"/>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rgb="FF000000"/>
            <rFont val="Tahoma"/>
            <family val="2"/>
          </rPr>
          <t xml:space="preserve">
</t>
        </r>
      </text>
    </comment>
    <comment ref="P8" authorId="1" shapeId="0">
      <text>
        <r>
          <rPr>
            <b/>
            <sz val="9"/>
            <color rgb="FF000000"/>
            <rFont val="Tahoma"/>
            <family val="2"/>
          </rPr>
          <t xml:space="preserve">Determine si el tipo de control de detectivo o preventivo
 </t>
        </r>
      </text>
    </comment>
    <comment ref="AI8" authorId="1" shapeId="0">
      <text>
        <r>
          <rPr>
            <b/>
            <sz val="9"/>
            <color rgb="FF000000"/>
            <rFont val="Tahoma"/>
            <family val="2"/>
          </rPr>
          <t xml:space="preserve">Analice nuevamente el nivel de probabilidad del riesgo tomando en cuenta los controles descritos. </t>
        </r>
      </text>
    </comment>
    <comment ref="AJ8" authorId="1" shapeId="0">
      <text>
        <r>
          <rPr>
            <b/>
            <sz val="9"/>
            <color rgb="FF000000"/>
            <rFont val="Tahoma"/>
            <family val="2"/>
          </rPr>
          <t xml:space="preserve">Analice nuevamente el nivel de consecuencias  del riesgo tomando en cuenta los controles descritos. </t>
        </r>
        <r>
          <rPr>
            <sz val="9"/>
            <color rgb="FF000000"/>
            <rFont val="Tahoma"/>
            <family val="2"/>
          </rPr>
          <t xml:space="preserve">
</t>
        </r>
      </text>
    </comment>
  </commentList>
</comments>
</file>

<file path=xl/comments2.xml><?xml version="1.0" encoding="utf-8"?>
<comments xmlns="http://schemas.openxmlformats.org/spreadsheetml/2006/main">
  <authors>
    <author>Carolina Ramos</author>
    <author>Carmen Catalina Arango Barbaran</author>
  </authors>
  <commentList>
    <comment ref="D8" authorId="0" shapeId="0">
      <text>
        <r>
          <rPr>
            <b/>
            <sz val="9"/>
            <color rgb="FF000000"/>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rgb="FF000000"/>
            <rFont val="Tahoma"/>
            <family val="2"/>
          </rPr>
          <t xml:space="preserve">
</t>
        </r>
      </text>
    </comment>
    <comment ref="P8" authorId="1" shapeId="0">
      <text>
        <r>
          <rPr>
            <b/>
            <sz val="9"/>
            <color rgb="FF000000"/>
            <rFont val="Tahoma"/>
            <family val="2"/>
          </rPr>
          <t xml:space="preserve">Determine si el tipo de control de detectivo o preventivo
 </t>
        </r>
      </text>
    </comment>
    <comment ref="AI8" authorId="1" shapeId="0">
      <text>
        <r>
          <rPr>
            <b/>
            <sz val="9"/>
            <color rgb="FF000000"/>
            <rFont val="Tahoma"/>
            <family val="2"/>
          </rPr>
          <t xml:space="preserve">Analice nuevamente el nivel de probabilidad del riesgo tomando en cuenta los controles descritos. </t>
        </r>
      </text>
    </comment>
    <comment ref="AJ8" authorId="1" shapeId="0">
      <text>
        <r>
          <rPr>
            <b/>
            <sz val="9"/>
            <color rgb="FF000000"/>
            <rFont val="Tahoma"/>
            <family val="2"/>
          </rPr>
          <t xml:space="preserve">Analice nuevamente el nivel de consecuencias  del riesgo tomando en cuenta los controles descritos. </t>
        </r>
        <r>
          <rPr>
            <sz val="9"/>
            <color rgb="FF000000"/>
            <rFont val="Tahoma"/>
            <family val="2"/>
          </rPr>
          <t xml:space="preserve">
</t>
        </r>
      </text>
    </comment>
  </commentList>
</comments>
</file>

<file path=xl/comments3.xml><?xml version="1.0" encoding="utf-8"?>
<comments xmlns="http://schemas.openxmlformats.org/spreadsheetml/2006/main">
  <authors>
    <author>REYNALDO ROA PARRA</author>
  </authors>
  <commentList>
    <comment ref="G8" authorId="0" shapeId="0">
      <text>
        <r>
          <rPr>
            <sz val="9"/>
            <color indexed="81"/>
            <rFont val="Tahoma"/>
            <family val="2"/>
          </rPr>
          <t xml:space="preserve">Ejemplo de Consecuencia:
Son los efectos ocasionados por la ocurrencia de un riesgo que afecta los objetivos o procesos de la Corporación, pueden ser una perdida, un daño, un perjuicio, un detrimento.
Decisiones erráticas
*Afectación del clima laboral 
*Sanciones legales 
*Demandas - Pago de Sentencias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
</t>
        </r>
      </text>
    </comment>
    <comment ref="L8" authorId="0" shapeId="0">
      <text>
        <r>
          <rPr>
            <sz val="9"/>
            <color indexed="81"/>
            <rFont val="Tahoma"/>
            <family val="2"/>
          </rPr>
          <t>Si No se diligencia la Matriz de Impacto para cada Riesgo siempre va a aparecer "ERROR"</t>
        </r>
      </text>
    </comment>
    <comment ref="N8" authorId="0" shapeId="0">
      <text>
        <r>
          <rPr>
            <sz val="9"/>
            <color indexed="81"/>
            <rFont val="Tahoma"/>
            <family val="2"/>
          </rPr>
          <t>Es el resultante después de los controles, Tomar las medidas conducentes a reducir la probabilidad y el impacto causado por el mismo</t>
        </r>
      </text>
    </comment>
    <comment ref="I9" authorId="0" shapeId="0">
      <text>
        <r>
          <rPr>
            <sz val="9"/>
            <color indexed="81"/>
            <rFont val="Tahoma"/>
            <family val="2"/>
          </rPr>
          <t xml:space="preserve">Si No se diligencia la Matriz de Impacto para cada Riesgo siempre va a aparecer </t>
        </r>
        <r>
          <rPr>
            <b/>
            <sz val="9"/>
            <color indexed="81"/>
            <rFont val="Tahoma"/>
            <family val="2"/>
          </rPr>
          <t>"ERROR" #¡VALOR!</t>
        </r>
      </text>
    </comment>
    <comment ref="O9" authorId="0" shapeId="0">
      <text>
        <r>
          <rPr>
            <sz val="9"/>
            <color indexed="81"/>
            <rFont val="Tahoma"/>
            <family val="2"/>
          </rPr>
          <t xml:space="preserve">Si No se diligencia la Matriz de Impacto para cada Riesgo siempre va a aparecer </t>
        </r>
        <r>
          <rPr>
            <b/>
            <sz val="9"/>
            <color indexed="81"/>
            <rFont val="Tahoma"/>
            <family val="2"/>
          </rPr>
          <t>"ERROR" #¡VALOR!</t>
        </r>
      </text>
    </comment>
  </commentList>
</comments>
</file>

<file path=xl/sharedStrings.xml><?xml version="1.0" encoding="utf-8"?>
<sst xmlns="http://schemas.openxmlformats.org/spreadsheetml/2006/main" count="2162" uniqueCount="1048">
  <si>
    <t>9- Gestión Jurídica</t>
  </si>
  <si>
    <t>14- Gestión Financiera</t>
  </si>
  <si>
    <t>12- Sistemas y Seguridad de la Información</t>
  </si>
  <si>
    <t>1- Gestión Direccionamiento Estratégico</t>
  </si>
  <si>
    <t>Oficina Asesora de Planeación</t>
  </si>
  <si>
    <t>Responsable</t>
  </si>
  <si>
    <t>Objetivo del Plan:</t>
  </si>
  <si>
    <t>Objetivos</t>
  </si>
  <si>
    <t>Componente</t>
  </si>
  <si>
    <t>Actividades Programadas</t>
  </si>
  <si>
    <t>Responsables</t>
  </si>
  <si>
    <t>Fecha de
Inicio</t>
  </si>
  <si>
    <t>Fecha de
Terminación</t>
  </si>
  <si>
    <t>Indicador</t>
  </si>
  <si>
    <t>Resultado</t>
  </si>
  <si>
    <t>Oficina Asesora de Comunicaciones</t>
  </si>
  <si>
    <t>Nivel de Cumplimiento del Plan</t>
  </si>
  <si>
    <t>Cumplimiento del Plan</t>
  </si>
  <si>
    <t>Meta</t>
  </si>
  <si>
    <t>Zona Baja</t>
  </si>
  <si>
    <t>0% a 59%</t>
  </si>
  <si>
    <t>Rojo</t>
  </si>
  <si>
    <t>Zona Media</t>
  </si>
  <si>
    <t>60% a 79%</t>
  </si>
  <si>
    <t>Amarillo</t>
  </si>
  <si>
    <t>Zona Alta</t>
  </si>
  <si>
    <t>de 80% a 100%</t>
  </si>
  <si>
    <t>Verde</t>
  </si>
  <si>
    <t>|||</t>
  </si>
  <si>
    <t>Código: GDE-PR003-FO1</t>
  </si>
  <si>
    <t>VERSIÓN:    01</t>
  </si>
  <si>
    <t>FECHA: 25 JUL. 2016</t>
  </si>
  <si>
    <r>
      <t>MISIÓN:</t>
    </r>
    <r>
      <rPr>
        <sz val="8"/>
        <rFont val="Arial"/>
        <family val="2"/>
      </rPr>
      <t xml:space="preserve"> El Concejo de Bogotá D.C. como suprema autoridad política administrativa del Distrito Capital, expide normas que promueven el desarrollo integral de sus habitantes y de la ciudad, así mismo, vigila y controla la gestión de la administración distrital, y elige los servidores públicos distritales conforme a lo establecido en el Acuerdo 348 de 2008, con el objeto de garantizar el cumplimiento de los fines esenciales del Estado Social de Derecho.</t>
    </r>
  </si>
  <si>
    <t>IDENTIFICACIÓN DEL RIESGO</t>
  </si>
  <si>
    <t>Valoración del Riesgo de Corrupción</t>
  </si>
  <si>
    <t>MONITOREO Y REVISIÓN</t>
  </si>
  <si>
    <t>Análisis del riesgo</t>
  </si>
  <si>
    <t>Valoración del Riesgo</t>
  </si>
  <si>
    <t>Proceso</t>
  </si>
  <si>
    <t>Objetivo del Proceso</t>
  </si>
  <si>
    <t>Responsable
Proceso</t>
  </si>
  <si>
    <t>Riesgo</t>
  </si>
  <si>
    <t>Consecuencias</t>
  </si>
  <si>
    <t>Riesgo Inherente</t>
  </si>
  <si>
    <t>Controles de riesgos de corrupción</t>
  </si>
  <si>
    <t>Tipo</t>
  </si>
  <si>
    <t>Calif</t>
  </si>
  <si>
    <t>Riesgo Residual</t>
  </si>
  <si>
    <t>Acciones Asociadas al Control</t>
  </si>
  <si>
    <t>Fecha</t>
  </si>
  <si>
    <t>Acciones</t>
  </si>
  <si>
    <t>Causa</t>
  </si>
  <si>
    <t>No.</t>
  </si>
  <si>
    <t>Riesgo de Corrupción</t>
  </si>
  <si>
    <t>Probabilidad</t>
  </si>
  <si>
    <t>Impacto</t>
  </si>
  <si>
    <t>Zona de Riesgo</t>
  </si>
  <si>
    <t>Zona de Riesgo Residual</t>
  </si>
  <si>
    <t>Periodo de Ejecución</t>
  </si>
  <si>
    <t>Registro</t>
  </si>
  <si>
    <t xml:space="preserve">Determinar y proporcionar los recursos necesarios que permitan coordinar, formular y realizar el seguimiento a la ejecución de los planes, programas y proyectos que conduzcan al logro de los objetivos trazados en la </t>
  </si>
  <si>
    <t xml:space="preserve">Mesa Directiva
Oficina Asesora de Planeación Secretaria General y Comisiones
</t>
  </si>
  <si>
    <t>Omitir la verificación que se debe  hacer entre la Hoja de Vida y los requisitos exigidos de Funcionarios Públicos y Distritales de la Corporación.</t>
  </si>
  <si>
    <t>Nombramiento de Servidores Públicos sin el lleno de los requisitos legales exigidos.</t>
  </si>
  <si>
    <t>*Sanciones legales 
*Demandas - Pago de Sentencias
*Pérdida de imagen y credibilidad institucional.
*Generación de reprocesos y desgaste administrativo.
*Propicia escenarios de conflictos</t>
  </si>
  <si>
    <t xml:space="preserve">Verificar el cumplimiento de requisitos de acuerdo al manual de funciones y la normatividad legal vigente, cotejando con la documentación que aporta el postulado </t>
  </si>
  <si>
    <t>Diarias</t>
  </si>
  <si>
    <t>Realizar una lectura consciente y detallada de las certificaciones laborales en el caso que la experiencia deba cumplir con el requisito de que sea relacionada; así como de los diplomas que acreditan el nivel educativo</t>
  </si>
  <si>
    <t>Historia Laboral
Manual de funciones</t>
  </si>
  <si>
    <t xml:space="preserve">Consultar la actualización de normas y manual de funciones de manera continua para tener claro el cumplimiento de requisitos </t>
  </si>
  <si>
    <t>Actos Administrativos y Posesiones</t>
  </si>
  <si>
    <t>No dar el tràmite respectivo a los Proyectos de Acuerdo .</t>
  </si>
  <si>
    <t>Modificación de los textos de los Acuerdos sometidos a debate después de ser aprobados</t>
  </si>
  <si>
    <t>Sanciones disciplinaria y/o penales</t>
  </si>
  <si>
    <t>Revisión por parte del Secretario General y Subsecretarios de las Comisiones de los contenuidos de los Proyectos.</t>
  </si>
  <si>
    <t>Por sesión</t>
  </si>
  <si>
    <t xml:space="preserve">Verificar que la información se incluya de acuerdo a lo aprobado </t>
  </si>
  <si>
    <t>Verificación de lo consignado en el proyecto de acuerdo aprobado</t>
  </si>
  <si>
    <t>Mensual</t>
  </si>
  <si>
    <t>Consultar y verificar los contenidos de los proyectos de acuerdo publicadas en la Red Interna de la Corporación.</t>
  </si>
  <si>
    <t>Secretario General y Subsecretarios de Comisiones.</t>
  </si>
  <si>
    <t>No crear los escenarios y mecanismos pertinentes para que la información fluya adecuadamente por la Corporación y no crear o respetar los conductos regulares de comunicación</t>
  </si>
  <si>
    <t>Ausencia de canales de comunicación.</t>
  </si>
  <si>
    <t>*Afectación del clima laboral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t>
  </si>
  <si>
    <t>Verificación del cumplimiento del Plan de Medios</t>
  </si>
  <si>
    <t>Verificacion de los resultados de los informes de supervisión e interventoría.</t>
  </si>
  <si>
    <t>Actas de seguimiento</t>
  </si>
  <si>
    <t>Jefe de la OficinaAsesora de Comunicaciones</t>
  </si>
  <si>
    <t>La no presentación oportuna de los informes de avance trimestral, e incumplimiento de los Indicadores del PAA y Procesos.</t>
  </si>
  <si>
    <t>Inadecuado seguimiento del Plan Acción Cuatrienal y Plan de Acción Anual.</t>
  </si>
  <si>
    <t>*Decisiones erráticas
*Sanciones legales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t>
  </si>
  <si>
    <t>Revisión por parte del jefe inmediato del cumplimiento de los Indicadores propios de cada proceso</t>
  </si>
  <si>
    <t>Trimestral</t>
  </si>
  <si>
    <t>Informe de Avance del PAC 2016-2019 y PAA 2018</t>
  </si>
  <si>
    <t>Verificación del Informe de de Avance presentado al Comité Directivo del SIG y a la Mesa Directiva</t>
  </si>
  <si>
    <t xml:space="preserve">Jefe Oficina Asesora de Planeación </t>
  </si>
  <si>
    <t>2- Comunicaciones e Información</t>
  </si>
  <si>
    <t>Comunicar a los funcionarios y a la ciudadanía las actividades realizadas por el Concejo y la actividad ejercida en el Cabildo por  la Mesa Directiva y por cada Concejal, y demás información de interés sobre la Corporación.</t>
  </si>
  <si>
    <t xml:space="preserve">Por depender de otras dependencias o de las oficinas de los concejales no se puede difundir y publicar información por ser reservada o incompleta y/o personal.  </t>
  </si>
  <si>
    <t>Que los periodistas no conozcan oportunamente la información o que les llegue solo en forma parcializada</t>
  </si>
  <si>
    <t>Afectación de la imagen  y credibilidad ante la ciudadanía en la labor institucional.</t>
  </si>
  <si>
    <t>Publicación diaria de Comunicados de Prensa y Agenda de Sesiones de la Corporación en distintos canales de comunicación:  Página Web, Redes Social y Grupo de Periodistas en Whatsapp</t>
  </si>
  <si>
    <t>Cuatrinal</t>
  </si>
  <si>
    <t xml:space="preserve">Revisión de publicaciones en Canales de Comunicación </t>
  </si>
  <si>
    <t>Acta de verificación</t>
  </si>
  <si>
    <t>Monitoreo de Medios</t>
  </si>
  <si>
    <t>Jefe Oficina de Comunicaciones</t>
  </si>
  <si>
    <t>3- Gestión Mejora Continua SIG</t>
  </si>
  <si>
    <t>Establecer, implementar y mantener el Sistema Integrado del Concejo de Bogotá D.C. , como un conjunto articulado de herramientas de gestión, para el logro de los objetivos institucionales y el mejoramiento de la calidad de los servicios a cargo de la Corporación.</t>
  </si>
  <si>
    <t>No atención de las dependencias a las recomendaciones de la Oficina de Control Interno.</t>
  </si>
  <si>
    <t>Debilidades no resueltas en la entidad, producto de observaciones de las Auditorias de Control Interno</t>
  </si>
  <si>
    <t>Sanciones Disciplinaria</t>
  </si>
  <si>
    <t>Atender las recomendaciones de la oficina de control interno</t>
  </si>
  <si>
    <t>Anual</t>
  </si>
  <si>
    <t>Formular Plan de Mejoramiento
Atención de las recomendaciones</t>
  </si>
  <si>
    <t>Plan de Mejoramiento</t>
  </si>
  <si>
    <t>Verificación de la realización del Plan de Mejoramiento</t>
  </si>
  <si>
    <t xml:space="preserve">Jefe Oficina Asesotra de Planeación </t>
  </si>
  <si>
    <t>Bajo compromiso e interés por el cumplimiento de los Hallazgos.
Riesgos de gestión</t>
  </si>
  <si>
    <t>Acciones de mejora no efectivas.</t>
  </si>
  <si>
    <t>'Sanciones Disciplinaria</t>
  </si>
  <si>
    <t>Verificación de las acciones de mejoras en el Plan de Mejoramiento</t>
  </si>
  <si>
    <t>Realizar las acciones de las mejoras con el fin de disminuir los hallazgos encontrados</t>
  </si>
  <si>
    <t xml:space="preserve">Oficina Asesotra de Planeación </t>
  </si>
  <si>
    <t>4- Gestión
Normativa
6- Control
Político</t>
  </si>
  <si>
    <t>Expedir Acuerdos(Actos Administrativos de carácter General) que promuevan el desarrollo integral y armónico del Distrito Capital de Bogotá, conforme a lo preceptuado en la Constitución Política de Colombia y sus Leyes.
Vigilar debatir o controvertir la gestión que cumplen todas las Autoridades Distritales.</t>
  </si>
  <si>
    <t>Secretaría General
Comisiones</t>
  </si>
  <si>
    <t xml:space="preserve">No cumplir con lo establecido en el Reglamento Interno de la Corporación para el sorteo de Ponencias, favoreciendo a un tercero. </t>
  </si>
  <si>
    <t xml:space="preserve">Favorecer en beneficio propio o de un tercero para que se designe un  ponente de un proyecto de Acuerdo a través del sorteo. </t>
  </si>
  <si>
    <t>Investigación por presunto prevaricato, sanción penal, y disciplinaria</t>
  </si>
  <si>
    <t>Preventivo. Cumplir el Reglamento Interno, Acuerdo 348 de 2008.</t>
  </si>
  <si>
    <t xml:space="preserve">Trimestral </t>
  </si>
  <si>
    <t>Registro de asistencia; participacion del Concejal en la discusion tematica.
Verificacion del quorun</t>
  </si>
  <si>
    <t>Llamado a lista.
Correo institucional
Archivo Sonido y video
Actas</t>
  </si>
  <si>
    <t>1.Darle cumplimiento  al Reglamento Interno de la Corporación “Acuerdo No 348 de 2008”,  en lo relacionado con las bancadas.
2. Convocatoria pública para el sorteo
3. Grabación en video y audio el sorteo</t>
  </si>
  <si>
    <t>Secretario General
Subsecretarios de Comisiones</t>
  </si>
  <si>
    <t xml:space="preserve">Alteración intencional a la planilla  de registro de asistencia de los Concejales a la sesiones, plenaria y comisiones permanentes. </t>
  </si>
  <si>
    <t>Expedir certificaciones de honorarios que no se ajusten a la asistencia real de los Honorables Concejales a las sesiones plenarias y comisiones.</t>
  </si>
  <si>
    <t>Sancion disciplinaria, accion penal y fiscal para quienes incurran en ese tipo de acciones</t>
  </si>
  <si>
    <t>Preventivo. Registro biométrico, acta, audio y video</t>
  </si>
  <si>
    <t xml:space="preserve">Cuatrienal </t>
  </si>
  <si>
    <t>Soportar las certificaciones con los registros de asistencia</t>
  </si>
  <si>
    <t>Registro electronico de las certificiacion 
Listados de Asistencia</t>
  </si>
  <si>
    <t>Dentro de los ultimos 5 dias calendario de cada me</t>
  </si>
  <si>
    <t xml:space="preserve">Expedir las certificaciones acatando los procedimientos establecidos por el concejo; </t>
  </si>
  <si>
    <t xml:space="preserve">No aplicar los términos para los trámites de gestión normativa y control político para favorecer a terceros. </t>
  </si>
  <si>
    <t>Otorgar prórrogas fuera de términos establecidos en el Reglamento Interno para los procesos de Gestión Normativa y Control Político.</t>
  </si>
  <si>
    <t>Acciones disciplinarias, posible accion penal</t>
  </si>
  <si>
    <t xml:space="preserve">Preventivo. Tablero de Control de términos. </t>
  </si>
  <si>
    <t>Control selectivo de  solicitudes de prorroga</t>
  </si>
  <si>
    <t>Memorando del Concejal o Funcionario dirigida al Secretario General de la Corporacion
Aprobacion de las proposiciones</t>
  </si>
  <si>
    <t xml:space="preserve">Mensual </t>
  </si>
  <si>
    <t xml:space="preserve">Acatar el reglamento interno del Concejo en lo correspondiente a terminos para la concesión de prórrogas para presentar informes de ponecias o revoslver proposiones o cuestionarios </t>
  </si>
  <si>
    <t>No verificar el registro biométrico de votación para elaborar la certificación, Omisión en el registro de la votación que se lleve a cabo, NO verficar la grabacion de las sesiones  (audio -video)</t>
  </si>
  <si>
    <t>Expedir certificación de votaciones, que no correspondan a las reales, con el fin de favorecer un interés propio o de un tercero.  En eventos no subsanables.</t>
  </si>
  <si>
    <t>Quien realice este tipo de conductas incurriria en falsedad material, ideologica, en documento pùblico</t>
  </si>
  <si>
    <t>Preventivo. Verificar la información del registro biométrico de votación y audio de la sesión para expedir la certificación.</t>
  </si>
  <si>
    <t>Cuatrienal</t>
  </si>
  <si>
    <t>Expedir certificacion de votaciones a solicitud de terceros</t>
  </si>
  <si>
    <t xml:space="preserve">Registro electronico de votos
Regsitro de Actas </t>
  </si>
  <si>
    <t>Expedir las certificaciones acatando el regalmento interno del concejo</t>
  </si>
  <si>
    <t>5- Elección de Servidores Públicos</t>
  </si>
  <si>
    <t>Elegir de los postulantes a ocupar los cargos de las autoridades que aplican el control jurídico-político y de vigilancia dentro del Distrito Capital.</t>
  </si>
  <si>
    <t>Mesa Directiva
Secretaría General</t>
  </si>
  <si>
    <t>No verificar la documentación adjunta para selección de Servidores Públicos</t>
  </si>
  <si>
    <t>Participación en la elección de  funcionarios omitiendo los requisitos de ley.</t>
  </si>
  <si>
    <t>La omision de los requisitos de ley esta incurso en una investigacion disciplinaria y posible prevaricato</t>
  </si>
  <si>
    <t>Ceñirse a la normatividad vigente</t>
  </si>
  <si>
    <t>Semestral</t>
  </si>
  <si>
    <t>Revisar los terminos de la convocatoria en todos sus asptectos</t>
  </si>
  <si>
    <t>Verificacion del cronograma de las comunicacion y radicacion de  hojas de vida con soporte</t>
  </si>
  <si>
    <t>Conformar una comision de verificación  comité para la verificación de documentos presentados por los aspirantes a los cargos de elección.</t>
  </si>
  <si>
    <t>7- Atención al Ciudadano</t>
  </si>
  <si>
    <t>Efectuar el trámite y seguimiento oportuno a las peticiones, quejas, reclamos y/o sugerencias recibidas en la Corporación por los diferentes medios establecidos para tal fin, buscando informar, orientar, atender o direccionar al peticionario que hace su solicitud.</t>
  </si>
  <si>
    <t>Dirección Jurídica</t>
  </si>
  <si>
    <t>No dar respuesta de las PQRS en los terminos establecidos por la Ley</t>
  </si>
  <si>
    <t>No informar o desinformar al solicitante, demorar la respuesta  y no tramitar la información.</t>
  </si>
  <si>
    <t>*Investigacion Disciplinarioa para el responsable
*LImitar el ejercicio de control social por parte del ciudadano. 
*Violacon de los principios de transparencia.</t>
  </si>
  <si>
    <t>El Defensor del ciudadano hace la verificación quincenal de las PQRS, para que estas sean respondidas en su totalidad; de manera coherente, veráz, completa</t>
  </si>
  <si>
    <t>Apoyo para la respuesta, por parte del asesor o profesional adscrito al proceso de Gestión Jurídica</t>
  </si>
  <si>
    <t>Inclusión en el documento de respuesta, del nombre del asesor o profesional que revisó</t>
  </si>
  <si>
    <t xml:space="preserve">Remitir al Proceso de Atención al Ciudadano, las observaciones del Defensor del Ciudadano sobre el trámite de PQRS </t>
  </si>
  <si>
    <t xml:space="preserve">
Dirección Jurídica</t>
  </si>
  <si>
    <t>8- Talento
Humano</t>
  </si>
  <si>
    <t>Administrar y promover el talento humano del Concejo de Bogotá a partir de las necesidades de la Corporación,  realizando  los procesos de ingreso  y retiro de los funcionarios, proporcionando condiciones para el desarrollo de competencias, habilidades, aptitudes y mejoramiento de las condiciones de trabajo con la finalidad de tener una planta de personal calificada, garantizando  la calidad en la prestación de los servicios y el desempeño de la Entidad.</t>
  </si>
  <si>
    <t>Dirección
Administrativa</t>
  </si>
  <si>
    <t>Falta de revisión de los requisitos establecidos en el Procedimiento TH-PR006 Actos Administrativos y Manual de Funciones y Competencias por parte de los funcionarios responsables del proceso</t>
  </si>
  <si>
    <t>Nombramiento de funcionarios sin el lleno de los requisitos legales o reglamentarios.</t>
  </si>
  <si>
    <t>Afectaciòn del Clima Laboral
Sanciones legales y Disciplinarias</t>
  </si>
  <si>
    <t>Efectuar la verificación del 100% de los documento requeridos, por parte de los funcionarios responsables del proceso y asesores de Mesa Directiva</t>
  </si>
  <si>
    <t>3 Veces al Año</t>
  </si>
  <si>
    <t>Verificar los documentos exigidos en la normatividad vigente, en el Manual de funciones y Competencias para cargos a proveer / Acta de revisión de Documentos v/s hoja de vida</t>
  </si>
  <si>
    <t>Notificación de Nombramiento; Acta de revisión de documentos</t>
  </si>
  <si>
    <t>Se revisa el 100% de la documentación aportada por los aspirantes antes del nombramiento.</t>
  </si>
  <si>
    <t>Dirección Administrativa</t>
  </si>
  <si>
    <t>Manejo de Influencias Políticas</t>
  </si>
  <si>
    <t>Vinculación de personal por prestación de servicios para realizar labores similares a las del Manual de Funciones y Competencias del Concejo de Bogotà.</t>
  </si>
  <si>
    <t>Afectación del clima laboral 
*Sanciones legales 
*Demandas - Pago de Sentencias
*Pérdida de imagen y credibilidad institucional
*Percepción negativa de la ciudadanía frente a la entidad.</t>
  </si>
  <si>
    <t>Seguimiento y Control por parte de la Oficina de Control Interno a la vinculación de personal por contrato de prestación de servicios.</t>
  </si>
  <si>
    <t>Solicitar un nuevo estudio de cargas laborales</t>
  </si>
  <si>
    <t>Memorando de solicitud de estudio de cargas laborales</t>
  </si>
  <si>
    <t>Dentro del Plan de Acción  quedó plasmada la actividad de realizar estudio de cargas laborales</t>
  </si>
  <si>
    <t>Dirección Admnistrativa y Dirección Financiera</t>
  </si>
  <si>
    <t>En la Dirección Administrativa se realiza la verificación de documentos de los funcionarios del Concejo, se han presentado algunos casos con documentación falsa.</t>
  </si>
  <si>
    <t>Presentación de documentos falsos o adulterados para la obtención de un empleo.</t>
  </si>
  <si>
    <t>*Sanciones legales 
*Pérdida de imagen y credibilidad institucional
*Percepción negativa de la ciudadanía frente a la entidad.</t>
  </si>
  <si>
    <t>Realizar revisión aleatoria a los documentos aportadas a las hojas de vida</t>
  </si>
  <si>
    <t>Realización de llamadas a entidades y centros educativos confirmando información reportada en la hoja de vida</t>
  </si>
  <si>
    <t>Registro de Revisión y llamadas realizadas a las entidades y centros educativos.</t>
  </si>
  <si>
    <t>Revisión aleatoria de hojas de vida confirmando información con las entidades educativas y entidades.</t>
  </si>
  <si>
    <t>Dirección Administrativa
Historias Laborales</t>
  </si>
  <si>
    <t>Desconocimiento de la normatividad vigente sobre riesgos de corrupción por falta de capacitación</t>
  </si>
  <si>
    <t>No identificar los riesgos de corrupción en sus procesos y por lo tanto la materializacion de los riesgos por no implementar los controles.</t>
  </si>
  <si>
    <t xml:space="preserve">
Materializaciòn de los riesgos de corrupciòn.
Sanciones legales 
Demandas - Pago de Sentencias
Pérdida de imagen y credibilidad institucional
</t>
  </si>
  <si>
    <t>Incluir dentro del PIC de la vigencia la capacitación sobre el Código {unico Disciplinario</t>
  </si>
  <si>
    <t xml:space="preserve">Dentro del memorando de notificación dejar clara la obligatoriedad de la asistencia a la capacitación y las sanciones a que se puede hacer acreeedor  por el incumplimiento.
</t>
  </si>
  <si>
    <t xml:space="preserve">Memorando y listados de asistencia </t>
  </si>
  <si>
    <t xml:space="preserve">Se efectuó revisión del Mapa de risgos de la vigencia anterior y se actualiz{o </t>
  </si>
  <si>
    <t>Dirección Admnistrativa , procedimiento de capacitación</t>
  </si>
  <si>
    <t>Deserción de los funcionarios a las capacitaciones programadas, debido a la falta de controles  que obliguen a la asistencia a los cursos a los cuales se inscriben.</t>
  </si>
  <si>
    <t xml:space="preserve">Mal aprovechamiento de los recursos invertidos en capacitación para los funcionarios del Concejo de Bogotá. </t>
  </si>
  <si>
    <t>Detrimento Patrimonial
Afectación clima laboral</t>
  </si>
  <si>
    <t>Una vez finalizada cada actividad  de  capacitación, la Dirección Administrativa remitirá a la Dirección Jurídica y a la Oficina de Control Interno la relación de funcionarios no certificados por decersiónpara que adelanten las acciones a que haya luga.</t>
  </si>
  <si>
    <t>Dentro delmemorando de notificaciòn de la capacitaciòn, dejar claro la obligatoriedad de la asistencia a la capacitaciòn y las sanciones a las que se puede hacer acreedor por el incumplimiento</t>
  </si>
  <si>
    <t>Listados de Asistencia a las capacitaciones , reportes de la entidad capacitadora y memorando de remisión de listados a la Dirección Jurídica y a la oficina de Control Interno</t>
  </si>
  <si>
    <t>Memorandos de Notificación dejar claro la obligatoriedad de la asistencia a la capacitaciòn y las sanciones a las que se puede hacer acreedor por el incumplimiento
'Se remiten los listados a la Dirección Administrativa y la Dirección Jurídica para lo pertinente.</t>
  </si>
  <si>
    <t>Dirección Administrativa Procedimiento de Capacitación</t>
  </si>
  <si>
    <t>Falta de controles en las actividades de bienestar social .
Manejo de Influencias.</t>
  </si>
  <si>
    <t>Que personas a quienes no les asiste el derecho se beneficien de los programas de bienestar que implementa la Corporación</t>
  </si>
  <si>
    <t>verificar el cumplimiento de requisitos para la inscripción y participación en las diferentes actividades enmarcadas en el Plan de Bienestar Institucional.</t>
  </si>
  <si>
    <t xml:space="preserve">Dentro del memorando de comunicación de la actividad de bienestar dejar claro el uso personal e intransferible  del beneficio.
obligatoriedad de la asistencia a la capacitación y las sanciones a que se puede hacer acreeedor  por el incumplimiento.
</t>
  </si>
  <si>
    <t>Memorando y registros de asistencia</t>
  </si>
  <si>
    <t>Controlar el ingreso de personas beneficiarias con el registro de inscripción y con el carne que lo acredita como servidor público del Concejo e Bogotá</t>
  </si>
  <si>
    <t xml:space="preserve">Dirección Administratica Procedimiento de Bienestar </t>
  </si>
  <si>
    <t>Las causas pueden ser de influencia política o que no se haga una revisión total de las hojas de vida de conformidad con el articulo 24 de la Ley 909 de 2004</t>
  </si>
  <si>
    <t xml:space="preserve">Favorecimiento en encargo sin el lleno de requisitos </t>
  </si>
  <si>
    <t>*Afectación del clima laboral 
*Sanciones legales 
*Demandas - Pago de Sentencias
*Pérdida de imagen y credibilidad institucion</t>
  </si>
  <si>
    <t>Realizar estudios previos de los requisitos establecidos en el manual de Funciones y en la escalerea para la asignación de cargos.</t>
  </si>
  <si>
    <t>Revisión de las Historias laborales de acuerdo al Derecho preferencial de Carrera Administrativa.
Dar estricto cumplimiento a la Norma sobre la materia.</t>
  </si>
  <si>
    <t xml:space="preserve">Herramienta en excel con todos los funcionarios de carrera, </t>
  </si>
  <si>
    <t>Se formulò una herramienta en excel que contiene todos los funcionarios con derechos de Casrrera Administrativa en orden descendente con el perfil el cargo, la experiencia si tienen alguna situaciòn administrativa especial, con el fin de evitar errores enla asignaciòn de los encargos</t>
  </si>
  <si>
    <t>Dirección Administrativa procedimiento de Carrera Administrativa</t>
  </si>
  <si>
    <t xml:space="preserve">Manejo de influencias </t>
  </si>
  <si>
    <t>Favorecimiento en la evaluación con calificación sobresaliente sin la verificación del portafolio de evidencias.</t>
  </si>
  <si>
    <t xml:space="preserve">Afectación del clima laboral 
Pérdida de imagen y credibilidad institucion
Propicia escenarios de conflictos
'*Decisiones erráticas
</t>
  </si>
  <si>
    <t>capacitación a los jefe sy Directivos acerca de la importancia de dar cumplimiento a la normatividad respecto a la evaluación del desempeño</t>
  </si>
  <si>
    <t>memorando a los Directivos recordando la importancia de la actualización del portafolio de evidencias de cada funcionario de Carrra Administrativa.</t>
  </si>
  <si>
    <t>Memorando a los Directivos</t>
  </si>
  <si>
    <t>Realizar revisión de manera aleatoria a los portafolios de evidencias de los funcionarios de Carrera Administrativa.</t>
  </si>
  <si>
    <t>No contar con la informacion  de contratistas desde la Direccion financiera para dar cumplimiento a la norma de Seguridad y salud  en el trabajo.</t>
  </si>
  <si>
    <t>Omision del cumplimiento de requisitos establecidos en el Manual de Seguridad y Salud en el Trabajo  para contratistas.</t>
  </si>
  <si>
    <t>Sanciones legales</t>
  </si>
  <si>
    <t>Solicitar mediante memorando a la Dirección Financiera la modificación del Procedimiento GF-PR-006 Gestión Fondo Cuenta, en el cual incluya que la Dirección Financiera debe informar por escrito a los responsables del Sistema de Gestión de l Seguridad y salud en el trabajo, la vinculación de los contratista, cargos a desempeñar y tiempo de duración del contrato, ya sea Persona Jurídica o  Persona Natural para dar cumplimiento a lo establecido en el Manual de Seguridad y Salud en el trabajo para Contratistas</t>
  </si>
  <si>
    <t>modificación Procedimiento GF- PR 006 Gestión Fondo Cuenta</t>
  </si>
  <si>
    <t>Memorando</t>
  </si>
  <si>
    <t>Se enviò memorando a la Direcciòn Financiera, solicitando información  de las personas vinculadas  por prestación de servicios.</t>
  </si>
  <si>
    <t>Dirección Administrativa Seguridad y salud en el trabajo y Dirección Financiera procedimiento gestión Fondo Cuenta</t>
  </si>
  <si>
    <t>Definir criterios y lineamientos jurídicos en la expedición de conceptos y actos administrativos expedidos por la Corporación, efectuar la coordinación de los procesos judiciales, extrajudiciales y administrativos en pro de la defensa de los intereses de la Corporación y conocer en primera instancia de los asuntos disciplinarios contra los empleados públicos de la Corporación, por violación al régimen de derechos, deberes, prohibiciones, inhabilidades, impedimentos, incompatibilidades y conflicto de intereses</t>
  </si>
  <si>
    <t xml:space="preserve">Dirección Jurídica </t>
  </si>
  <si>
    <t>Intervención de terceros ajenos a la Dirección Jurídica.</t>
  </si>
  <si>
    <t>Debido  a que la Dirección Jurídica presta asesoría a la Mesa Directiva para la expedición de actos administrativos, se pueden presentar intereses ajenos que busquen interferir en el sentido y contenido de las actuaciones jurídicas correspondientes.</t>
  </si>
  <si>
    <t>*Toma decisiones administartivas erradas.
*Posible investigacion penal y disciplinaria.
*Accion de Repeticion contra el funcionario que decide
*Afectacion imagen institucional</t>
  </si>
  <si>
    <t>*Instrucciones técnicas del jefe inmediato para adelantar las  actuaciones jurídicas 
*Autonomía del grupo profesional de la Direccion Jurídica</t>
  </si>
  <si>
    <t>01-02-2018 al 30-01-2019</t>
  </si>
  <si>
    <t xml:space="preserve">El Director Jurídico hacer la revisión y corrección, respetando el criterio técnico del equipo de trabajo </t>
  </si>
  <si>
    <t>Correos internos</t>
  </si>
  <si>
    <t>El jefe inmediato verifica trimestralmente, que las actuaciones jurídicas de mayor impacto, se han adelantado con independencia e imparcialidad</t>
  </si>
  <si>
    <t>No garantizar el derecho de contradicción o defensa al presunto disciplinado.</t>
  </si>
  <si>
    <t>Falta de aplicación del debido proceso en el ejercicio del control disciplinario.</t>
  </si>
  <si>
    <t>Afectación del derecho laboral del sancionado.
Demanda del fallo sancionatorio
Contrademanda en caso de demostrarse dolo del funcionario que emite el fallo.</t>
  </si>
  <si>
    <t>El jefe inmediato verifica que se cumpla el debido proceso en cada una de las etapas previstas para el respectivo proceso</t>
  </si>
  <si>
    <t>Capacitación a los funcionarios encargados del procedimiento administrativo, contencioso administrativo, disciplinario y cobro persuasivo</t>
  </si>
  <si>
    <t>Registros de asistencia</t>
  </si>
  <si>
    <t>El jefe inmediato revisa trimestralmente que en los diferentes procedimientos a cargo de la Dirección Jurídica, se cumpla el debido proceso</t>
  </si>
  <si>
    <t>10- Anales y Publicaciones
Relatoría</t>
  </si>
  <si>
    <t>Publicar los  Proyectos de Acuerdo,  Acuerdos y  resoluciones en la red interna del Concejo. Transcribir las actas que son emitidas por el Concejo de Bogotá en las sesiones.</t>
  </si>
  <si>
    <t>Secretaría General</t>
  </si>
  <si>
    <t>Inconsistencias en la fidelidad de contenido y formato de estilo ocasionado por la contratación de servcios externa para la trascripción literal de actas</t>
  </si>
  <si>
    <t>Alterar suprimir, omitir o variar la fidelidad del contenido de los debates en cualquier forma en la trascripción de las actas  .</t>
  </si>
  <si>
    <t xml:space="preserve">Incurrir en procesos disciplinarios y penales por adulteración en la fidelidad del contenido en documento público </t>
  </si>
  <si>
    <t>Acta de entrega, sonido digital,  terminos de referencia del contrato, aplicación Resolución 0024 del 2010, "por el cual se adopta el manual de estilo para trascripción de actas", Reglamento Interno del Concejo de Bogotá y demas Normas concordantes</t>
  </si>
  <si>
    <t>Planes de Contingencia</t>
  </si>
  <si>
    <t>Informe mensual desriptivo con fecha sesión o comisión, número de acta tiempo de duración de la grabación y total de paginas de documentos impreso</t>
  </si>
  <si>
    <t>Archivo digital del sonido archivo digital de la transcripción y usuario de sistemas y documento impreso</t>
  </si>
  <si>
    <t>Permanente</t>
  </si>
  <si>
    <t>Posibles demandas de nulidad.
Proceso Disciplinario
Demandas de tipo fiscal</t>
  </si>
  <si>
    <t>Eliminar, omitir información en la publicación de los textos aprobados en las Comisiones o Plenarias de los Proyectos de Acuerdo.</t>
  </si>
  <si>
    <t>No Publicar o publicar parcialmente el contenido de los Proyectos de Acuerdo o resoluciones.</t>
  </si>
  <si>
    <t>Revisión periódica por parte de los funcionaros responsables del proceso de gestión normativa.</t>
  </si>
  <si>
    <t>El Secretario General, supervisa que la revisión periódica de las publicaciones se realice oportunamente.</t>
  </si>
  <si>
    <t>Publicación en la Red Interna y archivo digital.</t>
  </si>
  <si>
    <t>Secretaria general Dirección Financiera y Dirección Juriidica</t>
  </si>
  <si>
    <t>11- Gestión
Recursos Físicos</t>
  </si>
  <si>
    <t>Mantener en óptimas condiciones la funcionalidad de la infraestructura, equipos eléctricos y electrónicos, así como prestar el servicio de aseo,  cafetería y limpieza de las instalaciones y garantizar de manera permanente la movilidad de los Concejales, y Directivos de la Entidad.</t>
  </si>
  <si>
    <t xml:space="preserve"> Fallas en los sistemas de vigilancia o seguridad
Desorganización o descuido por parte de los funcionarios encargados de almacenar los bienes en la bodega o en las dependencias</t>
  </si>
  <si>
    <t>Recibir y almacenar los bienes y/o elementos de la Corporación</t>
  </si>
  <si>
    <t>Ocasionaria riesgos muy altos por las posibles perdidas de los equipos y herramientas asi como la seguridad del los honorables Concejales</t>
  </si>
  <si>
    <t>Se realiza la revisión permanentes de las camaras de monitoreo de vigilancia y el scanner, la empresa de vigilancia tiene el personal para su respectivo control quien reporta cual anomalia que se presente.</t>
  </si>
  <si>
    <t>4 veces al año</t>
  </si>
  <si>
    <t>La vigilancia solicita la autorizacon del ingreso de los visitantes, existen camaraas de vigilancia para los controles, se lleva por parte de la vigilancia un libro de minutas</t>
  </si>
  <si>
    <t>Registro de minutas y los BACKUP,</t>
  </si>
  <si>
    <t>trimestral</t>
  </si>
  <si>
    <t>La revisión la revisa el mayor de la vigilancia  y cada vez que lo solicita la adción</t>
  </si>
  <si>
    <t>Mayor de la vigilancia y Mantenimiento</t>
  </si>
  <si>
    <t>Complicidad de funcionarios para realizar actividades de fraude y/o corrupción, por debilidades en la seguridad física</t>
  </si>
  <si>
    <t>Hurto o daño intencional de activos y/o elementos de la Corporación</t>
  </si>
  <si>
    <t>Pérdida de información y de elementos de la corporación</t>
  </si>
  <si>
    <t>Las camaras se encuentran distribuidos en los puntos estratégicos donde se hace la revisión de los lelemento de entradas y salidas de la corporación</t>
  </si>
  <si>
    <t>1 vez al año</t>
  </si>
  <si>
    <t>Información a los entes de Control</t>
  </si>
  <si>
    <t>Oficiós donde se informa la novedad presentada</t>
  </si>
  <si>
    <t>permanente</t>
  </si>
  <si>
    <t>Esto hace parte de la Secretaria de hacienda quien realiza el inventario del concejo</t>
  </si>
  <si>
    <t>La Secretaria de Hacienda</t>
  </si>
  <si>
    <t xml:space="preserve">Desarrollar, implementar, administrar, renovar, mantener  y soportar la infraestructura tecnológica del Concejo, directamente o a través de terceros para fortalecer la gestión institucional. </t>
  </si>
  <si>
    <t>Sistemas y Seguridad de la Información</t>
  </si>
  <si>
    <t>Por falta de personal se  concentra la Información de determinadas actividades o procesos en una sola persona.</t>
  </si>
  <si>
    <t xml:space="preserve">Perdida o manipulacion de la información. </t>
  </si>
  <si>
    <t xml:space="preserve">Pérdida o manipulación de Información.
Generación de Reprocesos y desgaste Administrativo.
Desiciones herraticas. 
Afectación clima laboral.
</t>
  </si>
  <si>
    <t>Asignación de roles  o segregación de funciones en el Proceso de Sistemas y seguridad de la Información una vez se cuente con el personal.
Firma del Acuerdo de Confidencialidad y Aceptación de Políticas de Seguridad.</t>
  </si>
  <si>
    <t xml:space="preserve">Solicitar mediante memorando a la Dirección Administrativa,  la contratación de personal.
</t>
  </si>
  <si>
    <t>Memorando de solicitud.</t>
  </si>
  <si>
    <t xml:space="preserve">Se han proyectado memorandos hacia la dirección administrativa solicitando personal profesional para apoyar al proceso de Sistemas, los cuales ya han tenido respuesta dado que actualmente se cuenta con dos contratistas. </t>
  </si>
  <si>
    <t>Deficiencias en la contratación que permita  contar con sistemas, equipos y sofware que ayuden a garantizar el correcto funcionamiento de la infraestructura informática.
usuarios que no tengan los conocimientos o medidas de seguridad. 
Sistemas de Información susceptibles de manipulación o adulteración por parte de terceros o externos.</t>
  </si>
  <si>
    <t xml:space="preserve">Ataques informaticos, pérdida, manipulación o adulteración  de información. </t>
  </si>
  <si>
    <t xml:space="preserve">Pérdida o manipulación de la Información de Información.
Generación de Reprocesos y desgaste Administrativo.
Pérdida de imagen y credibilidad institucional.
Sanciones Legales.
</t>
  </si>
  <si>
    <t>Mantener contratación para el soporte tecnico y actualización de la plataforma e infraetructura tecnológica del Concejo de Bogotá D.C.
Contar con capacitaciones permanentes para el personal que gestione y administre dichas plataformas.
'Sensibilización en cuanto a seguridad de la información a todo el personal de la Entidad.
Aseguramiento del Sistema de Información a traves del establecimiento e  implementación de politicas de seguridad.</t>
  </si>
  <si>
    <t xml:space="preserve">Realizar periódicamente los mantenimientos preventivos y correctivos de la plataforma informática y de esta manera garantizar la solicitud y adquisición de los mismos. 
'Por lo menos una vez al año realizar campaña de sensibilización de seguridad de la información a traves de convenios con instituciones especializadas.
Administración y gestión de la plataforma tecnologica a tra ves de el personal especiaizado ejecutando las politicas de seguridad de la información establecidas en la entidad. </t>
  </si>
  <si>
    <t>Ficha técnica para la contratación.
'Memorando de convocatorias a las sensibilización.
Listado de asistencia a las jornadas de sensibilización.</t>
  </si>
  <si>
    <t>Anualmente se  proyectan  las necesidades de contratación y se realizan las respectivas fichas técnicas y solicitudes a los proveedores para ejecutar los mantenimientos que requiere la plataforma tecnologica de la corporación 
En las fichas tecnicas se incluye la solicitud de capacitaciones para loas administradores de las plataformas, donde se han realizado cinco en el transcurso del año 2018, cuatro en modalidad de transferencia de conocimiento y una en modalidad de curso especializado
Se solicito apoyo al grupo csirt de la policia nacional para  realizar campañas de sensibilizacion de seguridad de la información mediante conferencias</t>
  </si>
  <si>
    <t>Intereses particulares.</t>
  </si>
  <si>
    <t>Manipulación de las grabacioes de las sesiones  al omitir intervenciones por solicitud de terceros.</t>
  </si>
  <si>
    <t xml:space="preserve">
Sanciones disciplinarias o penales
Pérdida de credibilidad institucional.
Percepción negativa de la ciudadanía frente a la entidad.
Posibles investigaciones de los demas entes de control.</t>
  </si>
  <si>
    <t>Firma del Acuerdo de Confidencialidad y Aceptación de Políticas de Seguridad.
Sensibilización impartida a los técnicos y personal que opera en las cabinas de grabación del recinto del Concejo de Bogotá, en cuanto a las concecuencias que acarrearía la comisión de la manipulación de las grabaciones.</t>
  </si>
  <si>
    <t>Mínimo una  vez al año realizar sensibilización a los técnicos y personal que opera en las cabinas de grabación del recinto del Concejo de Bogotá, en cuanto a las concecuencias que acarrearía la   manipulación indebida de las grabaciones.
 Firma del Acuerdo de confidencialidad al momento de ser contratado par laborar en el Concejo de Bogotá D.C.</t>
  </si>
  <si>
    <t>Memorando de convocatorias a las sensibilización.
Listado de asistencia a las jornadas de sensibilización.
Acuerdo de confidencialidad firmado.</t>
  </si>
  <si>
    <t xml:space="preserve">Para el mes de  noviembre se tiene proyectado realizar  una charla de sensibilización a los técnicos y personal que opera en las cabinas de grabación del recinto del Concejo de Bogotá, en cuanto a las concecuencias que acarrearía la   manipulación indebida de las grabaciones.
Validar que los  tecnicos y personas que opera en las cabinas de grabación del recinto del Concejo de Bogotá hayan firmado los acuerdos de confidencialidad y aceptación de politicas de seguridad de la información </t>
  </si>
  <si>
    <t>Claves inseguras o divulgación de las mismas a terceros.</t>
  </si>
  <si>
    <t>Uso de claves de usuarios para perdida, manipulación o adulteración de la información</t>
  </si>
  <si>
    <t>Pérdida o manipulación de Información.
Generación de Reprocesos y desgaste Administrativo.
Afectación clima laboral.
Sanciones disciplinarias.
Sanciones legales.</t>
  </si>
  <si>
    <t xml:space="preserve">Sensibilización en cuanto a seguridad de la información a todo el personal de la Entidad.
Establecimiento de políticas de contraseñas seguras.
</t>
  </si>
  <si>
    <t>Por lo menos una vez al año realizar campaña de sensibilización de seguridad de la información a traves de convenios con instituciones especializadas.
Divulgación de las políticas de seguridad al interior de la entidad.</t>
  </si>
  <si>
    <t>Memorando de convocatorias a las sensibilización.
Listado de asistencia a las jornadas de sensibilización.</t>
  </si>
  <si>
    <t>Se solicito apoyo al grupo csirt de la policia nacional para  realizar campañas de sensibilizacion de seguridad de la información mediante conferencias
Se tramito la publicación  de la politica de seguridad de la información de la entidad   en la intranet
Constantemente se  comparten tips  y alertas de seguridad de la información a los usuarios mediante correo electronico</t>
  </si>
  <si>
    <t>13- Gestión Documental</t>
  </si>
  <si>
    <t>Organizar  y Controlar las actividades  administrativas y técnicas  tendientes a la planificación, manejo y organización de la documentación producida y recibida por los procesos, desde su origen hasta su destino final, con el objeto de facilitar su utilización y conservación.</t>
  </si>
  <si>
    <t>Secretaria General
Biblioteca</t>
  </si>
  <si>
    <t>Mutilación,  hurto, robo o perdida de folios o de expedientes con el fin de favorecer intereses personales.</t>
  </si>
  <si>
    <t>En el trámite de expediente puede presentarse bien sea el hurto, robo o pérdida de expedientes completos o la mutilación de folios, lo cual podría entorpecer la disponibilidad, veracidad y exactitud de la información.</t>
  </si>
  <si>
    <r>
      <rPr>
        <sz val="8"/>
        <color theme="1"/>
        <rFont val="Arial"/>
        <family val="2"/>
      </rPr>
      <t>Sanción Disciplinaria'</t>
    </r>
  </si>
  <si>
    <t xml:space="preserve">Revisar que los expedientes consultados sean devueltos y ubicados en su lugar correspondiente </t>
  </si>
  <si>
    <t xml:space="preserve">Permanente </t>
  </si>
  <si>
    <t xml:space="preserve">Mmantener actualizados los inventarios  y mantener los expedientes organizados </t>
  </si>
  <si>
    <t>Contolres de consulta y péstamo (Ficha de consulta y péstamo de Documento)</t>
  </si>
  <si>
    <t xml:space="preserve">Elaboarar la ficha de consulta .
Advertencia al usuario que son expedientes solo para consulta </t>
  </si>
  <si>
    <t>Secretaria General
Archivo y Biblioteca</t>
  </si>
  <si>
    <t>Manejo Eficiente de los Recursos, Cesantías, Bonos Pensionales</t>
  </si>
  <si>
    <t>Dirección
Financiera</t>
  </si>
  <si>
    <t>Los jefes, directores y Concejales no informan las incapacidades de sus funcionarios al proceso de gestión financiera.
No se tiene conocimiento del total de días que llevan las incapacidades.</t>
  </si>
  <si>
    <t>'No se incluyen las incapacidades por enfermedad general o de tipo Profesional a los aplicativos PERNO y Aportes en linea, generando que no se pueda recuperar el dinero ante la EPS del 66,4%</t>
  </si>
  <si>
    <t xml:space="preserve">No se puede hacer el recobro a las EPS Y ARL
Detrimento patrimonial para la Corporación
Incapacidades mayores a 90 días que no son debidamente tramitadas </t>
  </si>
  <si>
    <t>Preventivos: Enviar circular semestralmente a todos los procesos de la Corporación.</t>
  </si>
  <si>
    <t xml:space="preserve">Mensual  </t>
  </si>
  <si>
    <t>Se realizan ciculares periódicas, solicitando a los jefes y responsables de los procesos  la entrega de las incapacidades de los funcionarios a su cargo.</t>
  </si>
  <si>
    <t>Archivo de nómina</t>
  </si>
  <si>
    <t>Realizar circulares periódicas recordando la obligatoriedad  de radicar las incapacidades al proceso de gestión financiera dentro de  los tres días siguientes  a la expedición de la incapacidad y sensibilizar el instructivo de incapacidades a todos los procesos de la Corporación.</t>
  </si>
  <si>
    <t>Director Financiero
Procedimiento nómina
Jefes de procesos y Concejales</t>
  </si>
  <si>
    <t>Ausencia de controles efectivos para identificar incapacidades iguales o superiores a noventa (90) días.</t>
  </si>
  <si>
    <t xml:space="preserve">No gestionar oportunamente incpacidades mayores a 90 días ante las entidades pertinentes  </t>
  </si>
  <si>
    <t>Detrimento patrimonial para la Corporación ya que se le sigue cancelando a los funcionarios.
Posible apertura de proceso disciplinario al encargado del proceso.</t>
  </si>
  <si>
    <t>Preventivos: Actualizar constantemente la base de datos de la incapacidades.
Verificar el cumplimiento de los lineamientos establecidos para incapacidades.</t>
  </si>
  <si>
    <t>mensual</t>
  </si>
  <si>
    <t>Informar oportunamente a la alta dirección.</t>
  </si>
  <si>
    <t>semestral</t>
  </si>
  <si>
    <t>Diseñar base de datos de las incapacidades para tener control del total de días.
Diseñar políticas o linemamientos claros para gestionar estos casos.</t>
  </si>
  <si>
    <t>Director Financiero
Procedimiento nómina
Responsables de Procesos</t>
  </si>
  <si>
    <t>Expedir RA, OP sin que medie la respectiva solicitud de pago por parte de la Direción Financiera</t>
  </si>
  <si>
    <t>Se giren dineros para pagos sin justificación.</t>
  </si>
  <si>
    <t>Se generan anulaciones continuas de R.A., para permitir liberar los dineros.</t>
  </si>
  <si>
    <t>Preventivo: No girar pagos sin que medie el respectivo soporte de solicitud de pagos a terceros.</t>
  </si>
  <si>
    <t>Validar la información en detalle del proceso de generación del archivo plano, mitigando la posibilidad de un error.</t>
  </si>
  <si>
    <t>Archivos planos de nómina.</t>
  </si>
  <si>
    <t>Funcionario responsable de la elaboración del archivo plano, revise y verifique antes de enviar la información a presupuesto.</t>
  </si>
  <si>
    <t>Responsable del Procedimiento de Presupuesto.</t>
  </si>
  <si>
    <t>Incumplimiento de las guía de supervisión contractual</t>
  </si>
  <si>
    <t>Inadecuada ejecución contractual</t>
  </si>
  <si>
    <t>Incurrir en procesos de responsabilidad fiscal, y/o disciplinaria</t>
  </si>
  <si>
    <t>Preventivo: Cumplimiento de la Res. 0671 del 29 de noviembre de 2017 por parte de los Funcionarios que han sido designados como supervisores de los contratos de la Corporación.</t>
  </si>
  <si>
    <t>Realizar mesa de trabajo trimestral con los supervisores para corrobar el estado de ejecución de los contratos de la Corporación.</t>
  </si>
  <si>
    <t>Informes de supervisión
Actas de de reunión de supervisores.</t>
  </si>
  <si>
    <t>Apoyarse en profesionales y personal idóneo para verificar la efectiva ejecución de las obligaciones contractuales y contar con el apoyo a la supervisión por parte de los líderes del proceso y procedimiento respectivo.</t>
  </si>
  <si>
    <t>Líder Procedimiento Gestión Fondo Cuenta.
Director Financiero.</t>
  </si>
  <si>
    <t>15- Evaluación Independiente</t>
  </si>
  <si>
    <t>Evaluar en forma independiente la gestión del SIG a través de las auditorias internas, el cumplimiento de las normas, planes, proyectos, programas y procesos, realizar el seguimiento, verificación y evaluación de las actuaciones institucionales, con el fin de promover el mejoramiento continuo de la gestión de la Entidad. Asesorar a la Mesa Directiva en los diferentes temas relacionados con el Sistema de Control Interno y  presentar los informes de evaluación y seguimiento de los procesos, así  como los informes a entes externos en cumplimiento de la normas constitucionales y legales en desarrollo de sus funciones.</t>
  </si>
  <si>
    <t>Oficina de
Control Interno</t>
  </si>
  <si>
    <t>Manipulación indebida de los registros de auditoría para favorecer a terceros.</t>
  </si>
  <si>
    <t>Conflicto de intereses</t>
  </si>
  <si>
    <t>Sanciones disciplinarias, fiscales y penales.</t>
  </si>
  <si>
    <t>Fortalecer en todos los funcionarios llas normas legales frente a la aplicación de conflictos de interés.</t>
  </si>
  <si>
    <t>Recomendaciones de sensibilización a los  funcionarios sobre conflictos de interés.</t>
  </si>
  <si>
    <t>Informes frente a las recomendaciones sobre conflicto de interés</t>
  </si>
  <si>
    <t>Observaciones y recomendaciones sobre el tema</t>
  </si>
  <si>
    <t>Jefe de Oficina de Control Interno y funcionarios del proceso</t>
  </si>
  <si>
    <t>Presión a los auditores para el no reporte de irregularidades.</t>
  </si>
  <si>
    <t>Presentar en los informes información imprecisa e incompleta a los entes externos</t>
  </si>
  <si>
    <t>Sanciones disciplinarias</t>
  </si>
  <si>
    <t>En mesa de trabajo revisar la información obtenida de la auditoría realizada por parte del equipo auditor y el jefe de control interno.</t>
  </si>
  <si>
    <t>Entrega del informe preliminar de auditoría al auditado, para que éste presente las objecciones que dierón  lugar a loas no conformidades en la auditoría</t>
  </si>
  <si>
    <t xml:space="preserve">Informe preliminar </t>
  </si>
  <si>
    <t>Revisar el informe de objecciones por el grupo auditor y el jefe de control interno</t>
  </si>
  <si>
    <t>Los conflictos de interés frente al auditor y el proceso auditado.</t>
  </si>
  <si>
    <t>Tráfico de influencias en las auditorías.</t>
  </si>
  <si>
    <t xml:space="preserve">Designación del auditor por parte del Jefe de la Oficina de Control Interno y de otra parte solicitar otro auditor en formación de la misma entidad..
</t>
  </si>
  <si>
    <t xml:space="preserve">Rotación de los auditores entre los diferentes procesos </t>
  </si>
  <si>
    <t>Plan de Auditor</t>
  </si>
  <si>
    <t>Realizar control y seguimiento de la información suministrada</t>
  </si>
  <si>
    <t xml:space="preserve">Zona de Riesgo de Corrupción: </t>
  </si>
  <si>
    <t>Actualizar la polìtica de administración de riesgo de la Corporación</t>
  </si>
  <si>
    <t>Mesa Directiva
Oficina de Asesora de Planeación</t>
  </si>
  <si>
    <t>Politica de Administración del Riesgo actualizada</t>
  </si>
  <si>
    <t>Documento de politica de gestión del riesgo disponible red interna</t>
  </si>
  <si>
    <t>Adoptar la Guia de Administraciòn del Riesgo y actualizar la documentación del procedimiento de administración del riesgo</t>
  </si>
  <si>
    <t xml:space="preserve">Documentos actualizados </t>
  </si>
  <si>
    <t xml:space="preserve">Documentos publicados en la red interna </t>
  </si>
  <si>
    <t>Socializar la politica y la documentación actualizada de gestión del riesgo</t>
  </si>
  <si>
    <t>Actas de socialización</t>
  </si>
  <si>
    <t>Actualizar matriz de riesgos de corrupción</t>
  </si>
  <si>
    <t>Todos los procesos</t>
  </si>
  <si>
    <t>Mapa de riesgos de corrupción actualizado</t>
  </si>
  <si>
    <t>Mapa de riesgos de corrupción públicado en la pàgina web y red interna</t>
  </si>
  <si>
    <t>Divulgar mapas de riesgos de corrupción</t>
  </si>
  <si>
    <t>No. Actividades de divulgación</t>
  </si>
  <si>
    <t>Registros de divulgación</t>
  </si>
  <si>
    <t xml:space="preserve">Seguimiento cuatrimestral </t>
  </si>
  <si>
    <t>Reporte de los 03 seguimientos cuatrimestrales</t>
  </si>
  <si>
    <t>Realizar monitoreo al Mapa de Riesgos de Corrupción</t>
  </si>
  <si>
    <t>Evaluar la gestión del riesgo en la Corporación</t>
  </si>
  <si>
    <t>Oficina de Control Interno</t>
  </si>
  <si>
    <t>Informe de evaluación anual</t>
  </si>
  <si>
    <t>Evaluación anual</t>
  </si>
  <si>
    <t>Todos los procesos
Oficina Asesora de Planeación</t>
  </si>
  <si>
    <t>(ii) Nota: “Las entidades de la Administración Pública nacional y territorial deberán elaborar anualmente una estrategia de Rendición de Cuentas, cumpliendo con los lineamientos de Rendición de Cuentas establecidas en el artículo la Ley 1757 de 2015, la cual deberá ser incluida en el Plan Anticorrupción y de Atención a los Ciudadanos de acuerdo con lo establecido en los artículos 73 y 74 de la Ley 1474 de 2011 (Estatuto Anticorrupción). Para el caso de las Corporaciones Públicas la estrategia es el equivalente al plan de rendición de cuentas establecido en la Ley 1757 de 2015”.</t>
  </si>
  <si>
    <t xml:space="preserve">(i) Nota: Mediante comunicación identificada con número 20145010005381 del 3 de febrero de 2014, la Dirección de Control Interno y Racionalización de trámites del Departamento Administrativo de la Función Pública indicó que, los Concejos municipales, como corporaciones político administrativas que no integran la rama ejecutiva del poder público, “no son receptoras de las normas antitrámites”. </t>
  </si>
  <si>
    <t>No aplica para la Corporación (i)</t>
  </si>
  <si>
    <t>Ejecutar el Plan de Rendición de cuentas (ii)</t>
  </si>
  <si>
    <t xml:space="preserve">Productos </t>
  </si>
  <si>
    <t>Manual de atención al ciudadano</t>
  </si>
  <si>
    <t>Documento publicado en la red interna</t>
  </si>
  <si>
    <t>Direcciòn Administrativa</t>
  </si>
  <si>
    <t>Informe semestral de Quejas, sugerencias y reclamos</t>
  </si>
  <si>
    <t>Documento públicado en la página web y red interna</t>
  </si>
  <si>
    <t>Documentos publicados en la pagina web</t>
  </si>
  <si>
    <t>Código de Integridad del Concejo de Bogotá D.C., actualizado y socializado</t>
  </si>
  <si>
    <t>6. Iniciativas Adicionales- Código de Integridad</t>
  </si>
  <si>
    <t>Oficina Asesora de Planeación (Consolidar)
Oficina Asesora de Comunicaciones (Divulgar)</t>
  </si>
  <si>
    <t>Diseñar y expedir la Política de Servicio a la Ciudadanía del Concejo de Bogotá D.C.</t>
  </si>
  <si>
    <t>Elaborar, adoptar y socializar un Manual de Atención a la Ciudadanía.</t>
  </si>
  <si>
    <t>Socializar la reglamentación del trámite de los derechos de petición, dirigidos a la Corporación</t>
  </si>
  <si>
    <t>Registros de asistencia a socialización</t>
  </si>
  <si>
    <t>Rendir a la Mesa Directiva un informe semestral sobre el tramite de las quejas, sugerencias y reclamos de la ciudadania (Ley 1474 de 2011, art.76); y comunicarlo a toda la Corporación</t>
  </si>
  <si>
    <t>Actualizar periódicamente la información mínima obligatoria publicada en el botón de transparencia de la página web de la Corporación, en cumplimiento de lo dispuesto en la Ley 1712 de 2014, el Decreto 103 de 2015</t>
  </si>
  <si>
    <t>Mesa Directiva
Directores, Secretarios y Subsecretarios y Jefes de Oficina</t>
  </si>
  <si>
    <t>Actualizar la informaciòn en los meses de abril, julio, octubre de 2019 y enero de 2020</t>
  </si>
  <si>
    <t>Ejecutar las actividades del compromiso 23° "Concejo Abierto de Bogotá D.C.", dentro del III Plan de Acción de la Alianza de Gobiernos Abiertos (AGA)</t>
  </si>
  <si>
    <t>Informes trimestrales de reporte de avances del compromiso 23° "CONCEJO ABIERTO DE BOGOTÁ D.C."</t>
  </si>
  <si>
    <t>Mesa Directiva
Proceso Talento Humano
Directores, Secretarios y Subsecretarios y Jefes de Oficina</t>
  </si>
  <si>
    <t xml:space="preserve">Lideres de Proceso (Jefes de dependencia)
Oficina Asesora de Planeación </t>
  </si>
  <si>
    <t>Mesa Directiva
Dirección Jurídica
Atención al Ciudadano</t>
  </si>
  <si>
    <t>Mesa Directiva
Dirección Jurídica - Atención al Ciudadano</t>
  </si>
  <si>
    <t>(Capacitaciones en servicio al ciudadano realizadas / capacitaciones en servicio al ciudadano previstas en el Plan Institucional de Capacitación)*100</t>
  </si>
  <si>
    <t>Registros de capacitación adelantados</t>
  </si>
  <si>
    <t>('No. Procesos socializados  / No. Procesos)*100</t>
  </si>
  <si>
    <t>('No. Actividades ejecutadas/No. Actividades Planeadas)*100</t>
  </si>
  <si>
    <t>Mecanismo de Verificación 
(Medio a través del cual se evidencia el cumplimiento de la actividad)</t>
  </si>
  <si>
    <t>Polìtica expedida</t>
  </si>
  <si>
    <t>Adoptar y socializar el Código de integridad de la Corporación</t>
  </si>
  <si>
    <t>Plan de acción de Integridad del Concejo de Bogotá D.C., formulado y aprobado</t>
  </si>
  <si>
    <t>Adelantar capacitaciones en temas relacionados con el mejoramiento del servicio del ciudadano, mediante capacitaciones incluidas en el Plan Institucional de Capacitación, con el fin de fortalecer las competencias de los servidores públicos</t>
  </si>
  <si>
    <t>Implementar medidas para prevenir la ocurrencia de hechos de corrupción, efectuar una rendición de cuentas participativa sobre la gestión desarrollada, mejorar la atención al ciudadano, afianzar una cultura de gestión transparente y de garantía al acceso a la información pública, y promover que todos los actos del Concejo de Bogotá D.C. y las actuaciones de sus funcionarios se ciñan a los valores institucionales.</t>
  </si>
  <si>
    <t>Definir mecanismos que contribuyan a afianzar la cultura de servicio al ciudadano en los empleados públicos de la Corporación y fortalecer los canales de atención, de acuerdo con los planes institucionales.</t>
  </si>
  <si>
    <t>Diseñar, implementar y socializar instrumentos que permitan una gestión transparente y  garanticen el acceso a la información pública institucional</t>
  </si>
  <si>
    <t xml:space="preserve">Dar a conocer los resultados de la gestión adelantada por los servidores públicos de la Corporación, con el propósito de visibilizarla y fortalecer el control social </t>
  </si>
  <si>
    <t>Motivar una ética pública institucional, frente a la responsabilidad individual y colectiva en el cuidado de lo público y la ejecución de acciones que pueden constituir fuente de corrupción en el Concejo de Bogotá D.C.</t>
  </si>
  <si>
    <t>Identificar y controlar los posibles hechos generadores de corrupción, determinando los riesgos, causas, consecuencias y estableciendo las medidas orientadas a controlarlos</t>
  </si>
  <si>
    <t>4. Mecanismos para mejorar la atención al ciudadano</t>
  </si>
  <si>
    <t>3. Rendición de cuentas</t>
  </si>
  <si>
    <t>2. Racionalización de trámites</t>
  </si>
  <si>
    <t>1. Gestión del Riesgo de Corrupción - Mapa de Riesgos de Corrupción</t>
  </si>
  <si>
    <t>5. Mecanismos para la Transparencia y el Acceso a la Información.</t>
  </si>
  <si>
    <t>Política de Integridad del Concejo de Bogotá D.C., actualizado y socializado</t>
  </si>
  <si>
    <t>Adoptar y socializar la polìtica de integridad de la Corporación</t>
  </si>
  <si>
    <t>Documentos publicados en la pagina web
Registros de socialización</t>
  </si>
  <si>
    <r>
      <t>Formular y socializar el Plan de gestión de Integridad del Concejo de Bogotá D.C.,</t>
    </r>
    <r>
      <rPr>
        <b/>
        <sz val="10"/>
        <rFont val="Arial"/>
        <family val="2"/>
      </rPr>
      <t xml:space="preserve"> </t>
    </r>
    <r>
      <rPr>
        <sz val="10"/>
        <rFont val="Arial"/>
        <family val="2"/>
      </rPr>
      <t xml:space="preserve">para generar conciencia, sobre las buenas prácticas en la gestión pública. </t>
    </r>
  </si>
  <si>
    <t>MAPA DE RIESGOS DE CORRUPCIÓN</t>
  </si>
  <si>
    <t>Descripción / Análisis del Avance</t>
  </si>
  <si>
    <t>Medio de Verificacion entregables</t>
  </si>
  <si>
    <t xml:space="preserve">1ER SEGUIMIENTO </t>
  </si>
  <si>
    <t>PLAN ANTICORRUPCIÓN Y ATENCIÓN AL CIUDADANO 2019</t>
  </si>
  <si>
    <t>RESOLUCIÓN No. 067 del 25 de Enero de 2019 - Anexo No. 10
'PLAN ANTICORRUPCIÓN Y ATENCION AL CIUDADANO 2019</t>
  </si>
  <si>
    <t>Meta del 1er Cuatrimestre</t>
  </si>
  <si>
    <t xml:space="preserve">Avance 1er Cuatrimestre </t>
  </si>
  <si>
    <t>15/05/2019
15/09/2019
15/12/2019</t>
  </si>
  <si>
    <t>5/07/2019
15/12/2019</t>
  </si>
  <si>
    <t>30-04-2019
30-08-2019
30-12-2019</t>
  </si>
  <si>
    <t>29-06-2019 al 30-01-2020</t>
  </si>
  <si>
    <t>15/04/19
15/07/19
15/10/19
30/12/19</t>
  </si>
  <si>
    <t xml:space="preserve">Secretario General
Subsecretarios de Comisiones
</t>
  </si>
  <si>
    <t>15/04/2019
15/07/2019
15/10/2019
15/12/2019</t>
  </si>
  <si>
    <t>N/A</t>
  </si>
  <si>
    <t xml:space="preserve">El 15/03/2019 fue actualizado y aprobada la V8 del Procedimiento de Administración de Riesgos GMC-PR-08 y se incorpora como documento externo aplicable  la Guia de Administración del Riesgo del DAFP </t>
  </si>
  <si>
    <t>Procedimiento vigente disponible para consulta en la red interna, carpeta PLANEACION SIG</t>
  </si>
  <si>
    <t xml:space="preserve">En reunión realizada el 29/01/2019 con los Gestores de Proceso, se realizò la construcción del Plan Anticorrupción y de Atenciòn al Ciudadano para la vigencia 2019 y la revisión del Mapa de Riesgos de Corrupción. </t>
  </si>
  <si>
    <t xml:space="preserve">Anexo 10 Plan Anticorrupción y de Atención al Ciudadano y Mapa de Riesgos de Corrupción </t>
  </si>
  <si>
    <t xml:space="preserve">Avance 1er Cuatrienio </t>
  </si>
  <si>
    <t xml:space="preserve">Se efectuó la publicación del Plan Anticorrupciòn y Atenciòn al Ciudadano en la página web de la corporación </t>
  </si>
  <si>
    <t>Página web (Memorando 2019IE6651 DEL 09/05/2019)</t>
  </si>
  <si>
    <t>A la fecha el riesgo no se ha materializado. Se está trabajando en la actualización del procedimiento de Consulta y préstamo de documentos de archivo y de los formatos asociados a este, para fortalecer los controles del riesgo.</t>
  </si>
  <si>
    <t xml:space="preserve">Fueron verificados los riesgos y estos se mantienen y se continua aplicando las acciones de mitigación del riesgo. </t>
  </si>
  <si>
    <t>Indicador % Avance</t>
  </si>
  <si>
    <t>Se socializó con cada uno de los auditores la guía de la Función Pública frente  al Conflicto de Intereses en la auditoria, con el ánimo de sensibilizar a los auditores frente a esta posible situación; la cual en desarrollo de las auditorias no se ha realizado.</t>
  </si>
  <si>
    <t>Para la Auditoria Interna al proceso de Sistemas y Seguridad de la Información, se presentó el informe preliminar con los responsables del proceso</t>
  </si>
  <si>
    <t>Teniendo en cuenta que el equipo auditor llego a finales del año 2018, obligatoriamente se rotaron los auditores para los procesos a auditar.</t>
  </si>
  <si>
    <t>Durante el primer cuatrimestre no se materializó el riesgo de perdida de información por corrupción.
Al 01 de abril de completo el equipo de trabajo para el proceso de Sistemas y Seguridad de la Información mediante la convocatoria 431 de 2016 adelantada por la CNSC, con lo cual se mejora la asignación de roles  y segregación de funciones en el Proceso</t>
  </si>
  <si>
    <t>Durante el primer cuatrimestre no se materializó el riesgo, se han gestionado con los proveedores los mantenimientos de las plataformas, se realizó en el mes de abril una sensibilización en seguridad de la información.</t>
  </si>
  <si>
    <t>'Durante el primer cuatrimestre no se materializó el riesgo, se realizó en el mes de abril una sensibilización en seguridad de la información.</t>
  </si>
  <si>
    <t>Durante el primer cuatrimestre no se materializó el riesgo, se ha firmado el acuerdo de confidencialidad por parte del personal viculado al proceso de Sistemas y Seguridad de la Información</t>
  </si>
  <si>
    <t>Se esta trabajando en la actualización de los procedimientos</t>
  </si>
  <si>
    <t xml:space="preserve">Se implementó una hoja en excel para el registro y control de las incapacidades y el tramite de recobro. </t>
  </si>
  <si>
    <t>Se viene vericando la información para la generación de los RA, previa autorizacion del ordenador del gasto y/o Director Financiero</t>
  </si>
  <si>
    <t xml:space="preserve">Se realizó el 09 de abril de 2019, reunión con el liderazgo de la Dirección Financiera - Fondo Cuenta con los supervisores de los contratos en ejecución y se verificó el estado de los mismos y se dieron recomendaciones. </t>
  </si>
  <si>
    <t>Red interna</t>
  </si>
  <si>
    <t>La Dirección Jurídica aún no ha dado cumplimiento a las actividades programadas, sin embargo, nos encontramos dentro de los términos pactados, por lo que no se ha incurrido en mora al respecto.</t>
  </si>
  <si>
    <t>En construcción</t>
  </si>
  <si>
    <t>No reporto</t>
  </si>
  <si>
    <t xml:space="preserve">Mediante Memorando 2019IE3939 del 14/03/2019 se solició a las diferentes dependencias actualizar la información de la página web y transparencia con ocasión de la medición del ITB. </t>
  </si>
  <si>
    <t>Red interna/Carpeta PLANEACIÓN SIG/Transparencia</t>
  </si>
  <si>
    <t>En acta del 2 de mayo de 2019 el Director Jurídico, junto con los profesionales del proceso de gestión jurídica, efectuó la verificación.</t>
  </si>
  <si>
    <t>En acta del 2 de mayo de 2019 el Director Jurídico, junto con los profesionales que intervienen en los procedimientos  disciplinario y de cobro persuasivo, efectuó la revisión.</t>
  </si>
  <si>
    <t>PLAN DE ACCIÓN DE RENDICIÓN DE CUENTAS -VIGENCIA 2019</t>
  </si>
  <si>
    <t>Objetivo: Informar, explicar y dar a conocer los resultados de la gestión del Concejo de Bogotá, de sus Bancadas y de los Concejales, con el fin de garantizar y orientar el cumplimiento de los principios de eficiencia, eficacia, probidad, publicidad y transparencia en el ejercicio de sus funciones. Lo anterior, con base en el artículo 2 del Acuerdo 688 de 2017.</t>
  </si>
  <si>
    <t>Subcomponente</t>
  </si>
  <si>
    <t>Actividades</t>
  </si>
  <si>
    <t>Meta o producto</t>
  </si>
  <si>
    <t xml:space="preserve">Responsable </t>
  </si>
  <si>
    <t>Mecanismo de Verificación (Medio a través del cual se evidencia el cumplimiento de la actividad)</t>
  </si>
  <si>
    <t>Fecha Máxima de ejecución
DD/MM/AAAA</t>
  </si>
  <si>
    <t>SEGUIMIENTO CUATRIMESTRE I (Enero -Abril)</t>
  </si>
  <si>
    <t>SEGUIMIENTO CUATRIMESTRE II (Mayo-Agosto)</t>
  </si>
  <si>
    <t>SEGUIMIENTO CUATRIMESTRE III (Septiembre -Diciembre)</t>
  </si>
  <si>
    <t>Avance</t>
  </si>
  <si>
    <t>Aprestamiento</t>
  </si>
  <si>
    <t>Realizar autodiagnóstico de la Rendición de cuentas del Concejo de Bogotá D.C. para verificar progreso de la Corporación en el tema.</t>
  </si>
  <si>
    <t>Diagnóstico de la Rendición de cuentas en el Concejo de Bogotá D.C. del ejercicio realizado a 31 de enero de 2019</t>
  </si>
  <si>
    <t>1 Documento (Diagnóstico de la rendición de cuentas para la rendición de cuentas aplicado)</t>
  </si>
  <si>
    <t>Equipo de trabajo de rendición de cuentas y visibilidad de la Gestión del Concejo de Bogotá D.C.</t>
  </si>
  <si>
    <t>Documento de diagnóstico aplicado, disponible en red interna 
Listados de asistencia del equipo de trabajo de rendición de cuentas</t>
  </si>
  <si>
    <t>Entre marzo 4 y abril 4, Equipo de trabajo de rendición de cuentas y visibilidad de la Gestión del Concejo de Bogotá D.C., realizó la calificación del autodiagnóstico,  obteniendo 83,7</t>
  </si>
  <si>
    <t xml:space="preserve">Red interna </t>
  </si>
  <si>
    <t>Calificación obtenida en la aplicación del diagnóstico</t>
  </si>
  <si>
    <t>Obtener una calificación mayor a 62.3</t>
  </si>
  <si>
    <t>Calificación obtenida en la aplicación del diagnóstico, disponible en red interna.</t>
  </si>
  <si>
    <t xml:space="preserve">Actualizar caracterización de partes interesadas estableciendo las necesidades de los grupos de valor en materia de información. </t>
  </si>
  <si>
    <t>Caracterización de partes interesadas</t>
  </si>
  <si>
    <t>Documento actualizado de Caracterización de partes interesadas</t>
  </si>
  <si>
    <t>Todos los procesos de la Corporación (Actualización)
Oficina Asesora de Planeación (Consolidación del Documento)</t>
  </si>
  <si>
    <t>Documento de caracterización de partes interesadas, disponible en red interna.</t>
  </si>
  <si>
    <t>Subcomponente 1
Información de calidad y en lenguaje comprensible</t>
  </si>
  <si>
    <t>Identificar, publicar y mantener de manera permanente, los temas, aspectos y contenido relevante que la entidad debe comunicar
teniendo en cuenta el manual de rendición de cuentas para el estado y la sección de transparencia y acceso a la información, en la página web del Concejo de Bogotá D.C., conforme a la normativa vigente.</t>
  </si>
  <si>
    <t>Ejercicios de actualización de la información en la página web durante la vigencia 2019</t>
  </si>
  <si>
    <t>(03) Tres actualizaciones en la vigencia (En los meses de abril, julio, octubre)</t>
  </si>
  <si>
    <t>Todos los Procesos de la Corporación suministran la información a publicar(Actualización de la información)
Web Master (actualiza la información página web) - (Sistemas y Oficina Asesora de Comunicaciones)</t>
  </si>
  <si>
    <t>Página web actualizada</t>
  </si>
  <si>
    <t>30 Abril
30 Julio
30 Octubre</t>
  </si>
  <si>
    <t>Visibilizar y mejorar el espacio virtual de rendición de cuentas</t>
  </si>
  <si>
    <t>Espacio virtual visible en la página web del Concejo de Bogotá D.C.</t>
  </si>
  <si>
    <t>Comité de página web (o el que lo reemplace) 
Oficina Asesora de Comunicaciones</t>
  </si>
  <si>
    <t>Página web con link o botón de rendición de cuentas actualizado</t>
  </si>
  <si>
    <t>Elaborar  y publicar el informe de rendición de cuentas de la gestión semestral en la página web del Concejo de Bogotá D.C. (Presidente del Concejo, Concejales, bancadas y comisiones)</t>
  </si>
  <si>
    <t>(Número de informes de rendición de cuentas semestrales presentados por HC/Número de HC activos)+ (Número de informes de rendición de cuentas semestrales presentados por Comisiones/Número de Comisiones) + (Número de informes de rendición de cuentas semestrales presentados por Bancadas/Número de Bancadas)*100</t>
  </si>
  <si>
    <t xml:space="preserve">100% de los Informes de rendición de cuentas de la gestión semestral publicados. </t>
  </si>
  <si>
    <t>Mesa Directiva, Bancadas, Honorables Concejales, Secretaría General, Comisiones Permanentes (Elaboración)
Oficina Asesora de Comunicaciones (publicación en la página web)
Secretaría General ( publicación en los Anales del Concejo)</t>
  </si>
  <si>
    <t>Informes de rendición de cuentas disponibles en página web</t>
  </si>
  <si>
    <t>30/06/2019 (primer semestre)
31/12/2019 (segundo semestre)</t>
  </si>
  <si>
    <t>Elaborar y publicar el informe de resultados de la gestión semestral consolidado de la Corporación Concejo de Bogotá en la página web institucional</t>
  </si>
  <si>
    <t>Número de informes de gestión institucional publicados en la página web institucional</t>
  </si>
  <si>
    <t>2 Informes de Gestión institucional publicados en página web</t>
  </si>
  <si>
    <t>Todos los procesos (Elaboración y reporte a la Oficina Asesora de Planeación) 
Oficina Asesora de Planeación (Consolidación del informe institucional a partir de los informes por procesos  y solicitud de publicación)</t>
  </si>
  <si>
    <t>Informes institucionales de gestión semestral disponibles en página web</t>
  </si>
  <si>
    <t>20/07/2019 (primer semestre)
20/01/2020 (segundo semestre)</t>
  </si>
  <si>
    <t xml:space="preserve">Difundir a través de redes sociales, página web y medios masivos, los contenidos publicados de la gestión de la entidad. </t>
  </si>
  <si>
    <t>Número de publicaciones de la Corporación, en web, redes sociales</t>
  </si>
  <si>
    <t xml:space="preserve">55 publicaciones </t>
  </si>
  <si>
    <t>Página web, pautas en medios masivos y redes sociales</t>
  </si>
  <si>
    <t>31/12/2019 (Se realiza de manera permanente)</t>
  </si>
  <si>
    <t>Preparar y ejecutar la Audiencia Pública de Rendición de Cuentas y visibilidad de la Gestión del Concejo de Bogotá D.C.</t>
  </si>
  <si>
    <t>Número de audiencias públicas de rendición de cuentas</t>
  </si>
  <si>
    <t>2 audiencias públicas</t>
  </si>
  <si>
    <t>Equipo Rendición de Cuentas
Secretaría General
Oficina Asesora de Comunicaciones</t>
  </si>
  <si>
    <t>Videos de las audiencias públicas</t>
  </si>
  <si>
    <t>31/07/2019
31/01/2020</t>
  </si>
  <si>
    <t>Subcomponente 2
Diálogo de doble vía con la ciudadanía y sus organizaciones</t>
  </si>
  <si>
    <t>Realizar visitas de campo a las diferentes zonas de Bogotá e indagar en la ciudadanía y/o grupos minoritarios, cuáles son sus inquietudes o dudas sobre el ejercicio de los concejales (según disponibilidad de recursos).</t>
  </si>
  <si>
    <t>(Número de salidas de campo realizadas/ Número de salidas de campo programadas)*100</t>
  </si>
  <si>
    <t xml:space="preserve">100% de las salidas de campo realizadas </t>
  </si>
  <si>
    <t>Comunicaciones oficiales o registros
Registro audiovisual de las visitas</t>
  </si>
  <si>
    <t>Promover espacios en el ejercicio del Control político, con los grupos de interés las Entidades Distritales  y la ciudadanía en general.</t>
  </si>
  <si>
    <t>No. Espacios promovidos y ejecutados</t>
  </si>
  <si>
    <t>3 Espacios promovidos y ejecutados</t>
  </si>
  <si>
    <t>Secretaría General , Comisiones permanentes (ejecución de espacios de control político)
y Oficina de Comunicaciones (Divulgar)</t>
  </si>
  <si>
    <t>Material audiovisual de la ejecución de espacios de control político y demás registros</t>
  </si>
  <si>
    <t>Dar respuesta a las preguntas que no se alcanzaron a responder a lo largo de la audiencia pública (dar trámite como derecho de petición)</t>
  </si>
  <si>
    <t>(Número de preguntas con respuesta definitiva/Número de preguntas no asbueltas en la audiencia pública de rendición de cuentas)*100</t>
  </si>
  <si>
    <t>100% de preguntas  con respuesta definitiva</t>
  </si>
  <si>
    <t>Dirección Jurídica - Atención al ciudadano   
Dependencia o área con la competencia para dar respuesta</t>
  </si>
  <si>
    <t>Registro audiovisual de las visitas (contiene las preguntas no absueltas)
Respuesta definitiva en página web o remitida al autor de la pregunta</t>
  </si>
  <si>
    <t>Analizar e incluir en la planeación institucional, cuando corresponda, las sugerencias, recomendaciones y conclusiones de los aportes de los ciudadanos y grupos de interés, presentadas en los diferentes espacios de diálogo.</t>
  </si>
  <si>
    <t>Solicitudes y recomendaciones analizadas/ Soliciutudes y recomendaciones efectuadas por los ciudadanos</t>
  </si>
  <si>
    <t>Sugerencias, recomendaciones y conclusiones pertinentes de los ciudadanos y grupos de interés,  para ser incluidas en la planeación institucional de ser el caso.</t>
  </si>
  <si>
    <t xml:space="preserve">Oficina Asesora de Planeación </t>
  </si>
  <si>
    <t>Informe de seguimiento de la estrategia de rendición de cuentas</t>
  </si>
  <si>
    <t>Diseñar y desarrollar una campaña de comunicación interna para el fortalecimiento de la cultura institucional de la Rendición de Cuentas</t>
  </si>
  <si>
    <t>Número de campañas ejecutadas/Número de campañas planeadas</t>
  </si>
  <si>
    <t xml:space="preserve">Una campaña </t>
  </si>
  <si>
    <t xml:space="preserve">Oficina Asesora de Comunicaciones </t>
  </si>
  <si>
    <t>Correo electrónico, banner u otros registros de comunicación de la rendición de cuentas al interior de la Corporación</t>
  </si>
  <si>
    <t>Generar un estímulo de agradecimiento por la participación en la Audiencia de Rendición de Cuentas del Concejo de Bogotá D.C., con el fin de incentivar su participación en próximas actividades.</t>
  </si>
  <si>
    <t>No. Estímulos (comunicado o pergamino) entregados/ No. Ciudadanos o grupos de interes participantes</t>
  </si>
  <si>
    <t xml:space="preserve">100% de Ciudadanos o grupos de interés participantes. </t>
  </si>
  <si>
    <t>Oficina Asesora de Comunicaciones
Secretaría General</t>
  </si>
  <si>
    <t>Comunicados o pergaminos</t>
  </si>
  <si>
    <t>30/07/2019 (primer semestre)
30/01/2020 (segundo semestre)</t>
  </si>
  <si>
    <t>Subcomponente 4
Evaluación y retroalimentación a  la gestión institucional</t>
  </si>
  <si>
    <t>Evaluar la audiencia pública de rendición de cuentas y visibilidad de la gestión del Concejo de Bogotá, por parte de los asistentes (mediante el formato definidos por la Corporación para calificar el evento).</t>
  </si>
  <si>
    <t>Número de aplicaciones de evaluación de la audiencia pública de rendición de cuentas y visibilidad de la gestión del Concejo de Bogotá D.C.</t>
  </si>
  <si>
    <t>2  aplicaciones de la evaluación de la audiencia pública de rendición de cuentas y visibilidad de la gestión del Concejo de Bogotá D.C.</t>
  </si>
  <si>
    <t>Dirección Administrativa (Aplicación del instrumento)
Oficina Asesora de Planeación (Análisis de la información)</t>
  </si>
  <si>
    <t>Encuestas de evaluación de la audiencia pública, aplicadas por los asistentes</t>
  </si>
  <si>
    <t>Realizar seguimiento y Evaluación de la estrategia de Rendición de cuentas</t>
  </si>
  <si>
    <t>Informe de seguimiento y evaluación de la estrategia de rendición de cuentas</t>
  </si>
  <si>
    <t>1 Informe de Evaluación y seguimiento de la estrategia</t>
  </si>
  <si>
    <t>Equipo de RdC (Elaboración)
Comité de Rendición de Cuentas o el que lo reemplace (Aprobación)</t>
  </si>
  <si>
    <t>Informe disponible en red interna.</t>
  </si>
  <si>
    <t xml:space="preserve">Realizar Plan de Mejoramiento de la Estrategia de Rendición de Cuentas </t>
  </si>
  <si>
    <t>Plan de mejoramiento</t>
  </si>
  <si>
    <t>Equipo de RdC (Elaboración)
Comité de Rendición de Cuentas o el que lo reemplace (Aprobación y seguimiento)</t>
  </si>
  <si>
    <t>Plan de mejoramiento disponible en red interna.</t>
  </si>
  <si>
    <r>
      <rPr>
        <sz val="14"/>
        <rFont val="Arial Narrow"/>
        <family val="2"/>
      </rPr>
      <t>Comisiones permanentes</t>
    </r>
    <r>
      <rPr>
        <sz val="14"/>
        <color rgb="FFFFC000"/>
        <rFont val="Arial Narrow"/>
        <family val="2"/>
      </rPr>
      <t xml:space="preserve">
</t>
    </r>
    <r>
      <rPr>
        <sz val="14"/>
        <color theme="1"/>
        <rFont val="Arial Narrow"/>
        <family val="2"/>
      </rPr>
      <t>Oficina Asesora de Comunicaciones
Dirección Jurídica - Atención al Ciudadano
Dirección Financiera
Dirección Administrativa</t>
    </r>
  </si>
  <si>
    <t xml:space="preserve">Con corte a 30 de marzo se solicitó reporte a cada uno de los Líderes y  Gestores de Mejora de procesos, frente a los avances alcanzados en lo de su competencia en el plan de acción de la Corporación durante el primer trimestre del año. 
En respuesta, se recibió los reportes oficiales de parte de cada uno de los procesos, con fundamento en los cuales adicionalmente se identificó la necesidad de modificar en diferentes aspectos el plan de acción de esta vigencia. 
Tales modificaciones fueron puestas en consideración del Comité Directivo del SIG en las sesiones del 23 y 25 de abril, producto de lo cual, la Oficina Asesora de Planeación proyectó y presentó para trámite correspondiente el proyecto de Resolución de modificación del Plan de Acción de la presente vigencia. 
Así mismo, se realizó presentación de los avances del Plan de Acción en reunión del Equipo Directivo de la Corporación celebrada el pasado 3 de mayo. </t>
  </si>
  <si>
    <t>No reportó</t>
  </si>
  <si>
    <t>Se  viene reportando avance, conforme a lo dispuesto en el Plan de Acción de la presente vigencia</t>
  </si>
  <si>
    <t>El  profesional responsable de seguridad y salud en el trabajo solicitò mesa de trabajo para ajustar el procedimiento de ARL con las personas vinculadas por OPS</t>
  </si>
  <si>
    <t xml:space="preserve">'Mediante circular IE201949213 del 19 de marzo, en el numeral 6. se solictó a los Evaluados  revisar los compromisos concertados e ingresar las evidencias de cumplimiento para cada uno de ellos y al jefe inmediato hacer la verificación para su cumplimiento.  </t>
  </si>
  <si>
    <t xml:space="preserve">A través de la Dirección Financiera se suscribió un contrato 180319-0-2018, para realizar el estudio de cargas laborales </t>
  </si>
  <si>
    <t>Verificar que efectivamente se públiquen dentro de los terminos reglamentarios.</t>
  </si>
  <si>
    <t>De las 18 actividades establecidas en el Plan de Acción de Rendición de Cuentas, 6 tienen cumplimiento programado para el primer cuatrimestre de la vigencia. No obstante, para el primer seguimiento se reporta el cumplimiento de 5 de estas actividades. La actividad con retraso en ejecución corresponde a "Actualizar caracterización de partes interesadas estableciendo las necesidades de los grupos de valor en materia de información" cuya ejecución depende del lineamiento que establezca el Comité de Rendición de Cuentas de la Entidad.</t>
  </si>
  <si>
    <t>No se ha ejecutado, toda vez que se tuvo retraso con el diagnóstico y que la caracterización requiere de la participación de líderes y ejecutores de otras políticas o componentes adicionales al de RdC. Adicionalmente, se debe contar con la directriz del Comité de Rendición de Cuentas que se encuentra pendiente por sesionar</t>
  </si>
  <si>
    <t>1. Mediante Memorando 2019IE3939 del 14/03/2019 se solició a las diferentes dependencias actualizar la información de la página web y transparencia con ocasión de la medición del ITB. 
2.La información objeto de actualización ha sido publicada.</t>
  </si>
  <si>
    <t>Red interna/Carpeta PLANEACIÓN SIG/Transparencia
Página web</t>
  </si>
  <si>
    <t>No aplica para este seguimiento</t>
  </si>
  <si>
    <t>De manera permanente, la Oficina Asesora de Comunicaciones ha publicado contenidos relacionados con la gestión de la Corporación en: página web, Facebook, twitter, instagram.</t>
  </si>
  <si>
    <t>Web, redes sociales</t>
  </si>
  <si>
    <t>De acuerdo a lo indicado en el “INFORME DE SEGUIMIENTO DE LA AUDIENCIA PÚBLICA DE RENDICIÓN DE CUENTAS Y VISIBILIDAD DE LA GESTIÓN DEL CONCEJO DE BOGOTÁ” que se encuentra en la Red Interna en la carpeta de Rendición_Cuentas, las 17 preguntas recogidas en las localidades fueron presentadas y resueltas en el desarrollo de la audiencia. Igual ocurrió con las 17 preguntas recibidas a través de redes sociales, las cuales fueron contestadas por los Concejales durante el evento de rendición de cuentas. 
En tal sentido no quedaron preguntas pendientes de resolver por parte del proceso de Atención a la Ciudadanía.</t>
  </si>
  <si>
    <t>Red Interna</t>
  </si>
  <si>
    <t xml:space="preserve">Reporte resumen PETIC </t>
  </si>
  <si>
    <t>Con corte 09/05/2019, las siguientes dependencias han reportado el monitoreo de sus riesgos: 
-Oficina Asesora de Comunicaciones (Memorando 2019IE6651 del 09/05/2019
-Dirección Administrativa (Correo Electronico 07/05/2019)
-Dirección Financiera (Correo Electrónico del 09/05/2019)
-Dirección Jurídica (Correo Electrònico 10/05/2019)
-Oficina Asesora de Planeación 
-Oficina de Control Interno (Correo Electrónico 9/05/2019)
-Secretaría General (Correo electrónico 13/05/2019)</t>
  </si>
  <si>
    <t>Reporta cumplimiento y las evidencias se encuentran en: '1. Correos electronicos masivos  enviados desde la Secretaría General.
2. Red Interna de la Corporación.</t>
  </si>
  <si>
    <t>Se expidieron las certificaciones, previa verificación del lleno de los requisitos, como se puede verificar: 1. Crtificaciones de Honorarios conforme a Registros de ASISTENCIA.
2. Registros de Asistencia electronicos. 3. Listados de Asistencia.
2  y 3 se pueden verificar en Red Interna de la Corporación.</t>
  </si>
  <si>
    <t>Reporta cumplimiento del 100%, como se puede verificar en 'Red Interna del Concejo de Bogotá (Expediente de Proposición o Proyecto de Acuerdo según el caso)</t>
  </si>
  <si>
    <t>Reporta cumplimiento 100%, Red Interna del Concejo de Bogotá (Carpeta Votaciones)</t>
  </si>
  <si>
    <t>Red Interna del Concejo de Bogotá (Capetas Actas y Votaciones)</t>
  </si>
  <si>
    <t>Certificado del cumplimiento de requisitos minimos previo al acto administrativo de nombramiento, el cual constituye un documento de apoyo o autocontrol del proceso actos administrativos</t>
  </si>
  <si>
    <t>Se encuentra disponible en la red interna</t>
  </si>
  <si>
    <t xml:space="preserve">Para la provisión de los Empleos de Carrera Administrativa, mediante encargos y nombramientos en  provisionalidad se ha realizado el estudio de verificación y cumplimiento de requisitos y se publica en las carteleras y se envia por correo interno.  Para las U.A.N. se revisa y se expide un certificado de cumplimiento de requisitos minimos. </t>
  </si>
  <si>
    <t>'Compromiso de asistencia al diplomado de "Certificación Auditotres Internos</t>
  </si>
  <si>
    <t>'Establecer filtros  para validar el cumplimiento de los requisitos para participar según la población destinada a cada actividad.</t>
  </si>
  <si>
    <t xml:space="preserve">Establecer filtros  para validar el cumplimiento de los requisitos para participar según la población destinada a cada actividad.
 'Listados de asistencia a las actividades de Bienestar </t>
  </si>
  <si>
    <t xml:space="preserve">2DO SEGUIMIENTO </t>
  </si>
  <si>
    <t>Meta del 2do Cuatrimestre</t>
  </si>
  <si>
    <t xml:space="preserve">Avance 2do Cuatrimestre </t>
  </si>
  <si>
    <t>PROCESO: GESTIÓN DE MEJORA CONTINUA</t>
  </si>
  <si>
    <t>CÓDIGO: GMC-FO-003</t>
  </si>
  <si>
    <t>MAPA DE RIEGOS</t>
  </si>
  <si>
    <t>VERSIÓN: 03</t>
  </si>
  <si>
    <t>VIGENCIA: 15-Mar-2019</t>
  </si>
  <si>
    <t>CONTEXTO ESTRATÉGICO</t>
  </si>
  <si>
    <t>CALIFICACIÓN DEL RIESGO INHERENTE</t>
  </si>
  <si>
    <t>VALORACIÓN DEL RIESGO</t>
  </si>
  <si>
    <t xml:space="preserve">ANALISIS DE RIESGO RESIDUAL </t>
  </si>
  <si>
    <t>PLAN DE TRATAMIENTO</t>
  </si>
  <si>
    <t>No. de Riesgo</t>
  </si>
  <si>
    <t>Activo 
(Aplica para los riesgos de Seguridad de la Información)</t>
  </si>
  <si>
    <t xml:space="preserve">Factores </t>
  </si>
  <si>
    <t xml:space="preserve">Debilidad / Amenaza </t>
  </si>
  <si>
    <t>Causas / Vulnerabilidades</t>
  </si>
  <si>
    <t>Consecuencia(s)</t>
  </si>
  <si>
    <t xml:space="preserve">Tipo de riesgo </t>
  </si>
  <si>
    <t xml:space="preserve">Probabilidad </t>
  </si>
  <si>
    <t xml:space="preserve">Riesgo Inherente </t>
  </si>
  <si>
    <t>Descripción del Control</t>
  </si>
  <si>
    <t xml:space="preserve">Tipo de Control </t>
  </si>
  <si>
    <t>El control mitiga la probabilidad</t>
  </si>
  <si>
    <t>El control mitiga el impacto</t>
  </si>
  <si>
    <t xml:space="preserve">Calificación del Control </t>
  </si>
  <si>
    <t xml:space="preserve">Total Calificación del Control </t>
  </si>
  <si>
    <t>Promedio</t>
  </si>
  <si>
    <t xml:space="preserve">Probabilidad 
Residual </t>
  </si>
  <si>
    <t>Impacto 
Residual</t>
  </si>
  <si>
    <t xml:space="preserve">Riesgo Residual </t>
  </si>
  <si>
    <t xml:space="preserve">Opciones de manejo </t>
  </si>
  <si>
    <t>Actividad</t>
  </si>
  <si>
    <t>Soporte</t>
  </si>
  <si>
    <t>Tiempo</t>
  </si>
  <si>
    <t>No de Riesgo</t>
  </si>
  <si>
    <t>Internos</t>
  </si>
  <si>
    <t>Externos</t>
  </si>
  <si>
    <t>¿Existe un responsable asignado a la ejecución del control ?</t>
  </si>
  <si>
    <t>¿El responsable tiene la autoridad y adecuada segregación de funciones en la ejecucion del control?</t>
  </si>
  <si>
    <t>¿ La oportunidad en que se ejecuta el control ayuda a prevenir la mitigación del riesgo o a detectar la materialización del riesgo de manera oportuna?</t>
  </si>
  <si>
    <t>¿Las actividades que se desarrollan en el control realmente buscan por sí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</si>
  <si>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</si>
  <si>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</si>
  <si>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</si>
  <si>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1. Direccionamiento Estrátegico</t>
  </si>
  <si>
    <t>6- Control Político</t>
  </si>
  <si>
    <t>Procesos</t>
  </si>
  <si>
    <t xml:space="preserve">No cumplir con lo establecido en el procedimiento de Gestión Normativa para el sorteo de Ponencias, favoreciendo a un tercero. </t>
  </si>
  <si>
    <t>Indagación y/o investigación administrativa, fiscal, disciplinaria o penal</t>
  </si>
  <si>
    <t xml:space="preserve">Corrupción </t>
  </si>
  <si>
    <t xml:space="preserve">El presidente de la Corporación y el Secretario General de Organismo de Control con el apoyo de recursos humanos, tecnológicos y físicos, realizan el sorteo público de ponentes, en cada periodo ordinario o extraordinario de sesiones, adoptando medidas de transparencia tales como: convocatoria pública para que asistan los funcionarios de las UAN o de la Administración Distrital, grabación del sorteo.  </t>
  </si>
  <si>
    <t xml:space="preserve">Preventivo </t>
  </si>
  <si>
    <t>Directamente</t>
  </si>
  <si>
    <t>No disminuye</t>
  </si>
  <si>
    <t>Asignado</t>
  </si>
  <si>
    <t>Adecuado</t>
  </si>
  <si>
    <t>Oportuna</t>
  </si>
  <si>
    <t>Prevenir</t>
  </si>
  <si>
    <t>Confiable</t>
  </si>
  <si>
    <t>Se investigan y resuelven oportunamente</t>
  </si>
  <si>
    <t>Completa</t>
  </si>
  <si>
    <t>Evitar</t>
  </si>
  <si>
    <t xml:space="preserve">
1. Convocar a los interesados para el sorteo de los proyectos de acuerdo.
2. Grabación en video y audio el sorteo, disponibles en la red interna de la Corporación  </t>
  </si>
  <si>
    <t>1. Correo electronico convocando a los interesados 
2. Registro de video y audio en red interna.</t>
  </si>
  <si>
    <t>1. Secretaria general
2. Direccion adminsitrativa/sistemas</t>
  </si>
  <si>
    <t xml:space="preserve"> Sesiones ordinarias (Febrero, Mayo, Agosto y Noviembre) y en sesiones extraordinarias</t>
  </si>
  <si>
    <t>1. Número de convocatorias realizadas /Número de sorteos programados
2. Número de videos y audios de sorteos /Número de sorteos realizados</t>
  </si>
  <si>
    <t>Personal</t>
  </si>
  <si>
    <t>Acción u omisión en el cumplimiento de las funciones del servidor público</t>
  </si>
  <si>
    <t>Falencias en la socialización y apropiación del código de ética (integridad), para que los servidores públicos de la Corporación, den prioridad al interés público sobre el interés particular.</t>
  </si>
  <si>
    <t xml:space="preserve">Manipulacion en el diligenciamiento de las planillas  de registro de asistencia para el reconocimiento de honorarios de los Concejales a la sesiones plenaria y comisiones permanentes. </t>
  </si>
  <si>
    <t>Indagación y/o investigación administrativa, fiscal, disciplinaria o penal 
Detrimento patrimonial</t>
  </si>
  <si>
    <t>El profesional asignado por parte del secretario general o el subsecretario, revisa las certificaciones digitadas  por el secretario ejecutivo o el auxiliar administrativo después de cada sesión y en caso de encontrar desviaciones con el  registro electrónico o el llammado a lista en caso de ausencia o falta del procedimiento electrónico, el profesional realiza los ajustes respectivos.
El secretario gneral o el subsecretario verifica las certificaciones.</t>
  </si>
  <si>
    <t>EXTREMO</t>
  </si>
  <si>
    <t>Verificar la certificacion con el registro suministrado por sistemas y en caso de fallas del sistema, se realizará llamados de conformidad con el reglamento interno vigente</t>
  </si>
  <si>
    <t>Registro de asistencia expedido por sistemas de cada una de las sesiones o el llamado a lista firmado por el secretario o subsecretario.</t>
  </si>
  <si>
    <t>Secretario General
Subsecretarios de Comisiones permanentes</t>
  </si>
  <si>
    <t>Enero -Diciembre  (mensual)</t>
  </si>
  <si>
    <t>Número de certificaciones expedidas/Número de sesiones realizadas</t>
  </si>
  <si>
    <t>No verificar el registro biométrico de votación para elaborar la certificación.</t>
  </si>
  <si>
    <t>Expedir certificación de votaciones, que no correspondan a las reales, con el fin de favorecer un interés propio o de un tercero,  en eventos no subsanables.</t>
  </si>
  <si>
    <t xml:space="preserve">El profesional asignado por parte del secretario general o el subsecretario,  elabora el registro de votación una vez culminada la sesión al dia siguiente,  el secretario y subsecretarios revisan y verifican la información para expedir la certificación y en el caso de encontrar inconsistencias realiza los ajustes respectivos y se expide la certificación. 
</t>
  </si>
  <si>
    <t>Verificar la votacion con el registro suministrado por sistemas y en caso de fallas del sistema, se realizará llamados de conformidad con el reglamento interno vigente</t>
  </si>
  <si>
    <t>Registro de votación expedido por sistemas de cada una de las sesiones o el llamado a lista firmado por el secretario o subsecretario.</t>
  </si>
  <si>
    <t>Sesiones ordinarias (Febrero, Mayo, Agosto y Noviembre) y en sesiones extraordinarias</t>
  </si>
  <si>
    <t>Número de registros de votación  expedidos/Número de votaciones realizadas</t>
  </si>
  <si>
    <t>Omisión en el registro de la votación que se lleve a cabo.</t>
  </si>
  <si>
    <t>NO verficar la grabacion de las sesiones  (audio -video)</t>
  </si>
  <si>
    <t>No permitir que se cumpla con los términos de radicación.</t>
  </si>
  <si>
    <t>4- Gestión
Normativa</t>
  </si>
  <si>
    <t>Intereses particulares para favorecimiento de terceros</t>
  </si>
  <si>
    <t>Omisión de requisitos de ley en los actos administrativos de convocatoria de elección de servidores públicos distritales para favorecimiento de terceros</t>
  </si>
  <si>
    <t>Indagación y/o investigación administrativa, disciplinaria, fiscal o penal.</t>
  </si>
  <si>
    <t>La Mesa Directiva  solicita el  acompañamiento especial del Ministerio Publico Nacional o Distrital.</t>
  </si>
  <si>
    <t>Indirectamente</t>
  </si>
  <si>
    <t>Aplicación de la normatividad vigente aplicable para el caso de elección de servidores públicos.</t>
  </si>
  <si>
    <t>Carpeta supervisión del contrato de prestación del servicio de elección de servidores públicos.</t>
  </si>
  <si>
    <t>Mesa Directiva</t>
  </si>
  <si>
    <t xml:space="preserve">Primer periodo de sesiones ordinarias correspondientes al inicio del periodo constitucional para Personero y Contralor.
Sesiones ordinarias del mes de Febrero de cada vigencia para Secretario General y Subsecretarios de Comisiones </t>
  </si>
  <si>
    <t>Numero de procesos de elección ejecutados conforme a la ley.</t>
  </si>
  <si>
    <t>Políticos</t>
  </si>
  <si>
    <t>N.A.</t>
  </si>
  <si>
    <t xml:space="preserve">Inadecuado control en el  préstamo de los  documentos del Archivo </t>
  </si>
  <si>
    <t>Mutilación,  hurto, robo o pérdida de folios o de expedientes con el fin de favorecer intereses personales.</t>
  </si>
  <si>
    <t>Demandas 
Procesos disciplinarios (dependiendo del tipo de documento)</t>
  </si>
  <si>
    <t>El auxiliar administrativo facilita la información que se requiere para consulta. Para esto diligencia el formato de solicitud de consulta y/o préstamo de documentos cada vez que se presente una solicitud.</t>
  </si>
  <si>
    <t>No se investigan y resuelven oportunamente</t>
  </si>
  <si>
    <t>Reducir</t>
  </si>
  <si>
    <t>Actualizar procedimiento y formatos. 
Divulgar y socializar la documentación actualizada a todos los niveles de la Corporación.</t>
  </si>
  <si>
    <t>Procedimiento actualzado
Formato (s) actualizado (s)
Listados de asistencia / Documento con la presentación</t>
  </si>
  <si>
    <t>Hernán Rodríguez</t>
  </si>
  <si>
    <t>Diciembre de 2019</t>
  </si>
  <si>
    <t>Número de documentos actualizados
Socializaciones realizadas</t>
  </si>
  <si>
    <t>Falta de espacios que aseguren el archivo y custodia de las unidades documentales cuando se encuentran en trámite (archivos de gestión)</t>
  </si>
  <si>
    <t>Ausencia de un inventario documental</t>
  </si>
  <si>
    <t>Incumplimiento a los procedimientos y lineamientos  establecidos en la Corporación</t>
  </si>
  <si>
    <t xml:space="preserve">Poco personal que apoye la supervisión de contratos y desconocimiento de la Guía de Supervisión. </t>
  </si>
  <si>
    <t>Concentrar las labores de supervisiòn en poco personal.</t>
  </si>
  <si>
    <t>Inobservancia de las obligaciones del Supervisor,  que genere el incumplimiento Contractual, en beneficio propio o de un tercero.</t>
  </si>
  <si>
    <t>Incumplimiento del objeto contractual por parte del contratista.</t>
  </si>
  <si>
    <t>3.1. Una vez perfeccionado el contrato y remitido por la Subdirecciòn de Asuntos Contractuales - SDH, el responsable del procedimiento de Fondo Cuenta proyecta memorando al funcionario asignado como Supervisor del Contrato, informandole la desingaciòn en la supervisiòn y su responsabilidades; por correo electronico se adjunta el link del Manual de Contrataciòn y la Guia de Supervisor de Contrato.</t>
  </si>
  <si>
    <t xml:space="preserve">Realizar reuniones trimestrales con los Supervisores de Contrato y los Apoyos a la Supervisión, para evidenciar las observaciones en el ejercicio de la supervisión y formular las acciones que correspondan. </t>
  </si>
  <si>
    <t xml:space="preserve">Acta de Reunión </t>
  </si>
  <si>
    <t>Director Financiero y Fondo Cuenta del Concejo</t>
  </si>
  <si>
    <t>No. Reuniones Realizadas /  Nro. Reuniones programadas en la vigencia</t>
  </si>
  <si>
    <t xml:space="preserve">Falta de comunicación entre la SHD y la Corporaciòn, que genera devoluación de documentaciòn y retrasos en el desarrollo del proceso contractual </t>
  </si>
  <si>
    <t>Dificultad en la Coordinación entre las dos entidades</t>
  </si>
  <si>
    <t>Servicios prestados no son acordes a la necesidades que se pretendian satisfacer.</t>
  </si>
  <si>
    <t>3.2. Recibida la cuenta de cobro por parte de los contratistas, los apoyos a la supervisiòn de los contratos proceden a verificar la documentaciòn y soportes aportados (Ej: Pago seguridad social, Informe de Supervisiòn Periodica, Facturas si aplica, Informe de Ejecuciòn Mensual, entre otros), siendo correcto se procede a dar visto bueno en la Ficha de Ejecuciòn Financiera y se procede a elaborar oficio remisiorio a la SDH. En caso de evidenciar observaciones se devuelve al supervisor para los correspondientes ajustes.</t>
  </si>
  <si>
    <t>Detectivo</t>
  </si>
  <si>
    <t>Detectar</t>
  </si>
  <si>
    <t xml:space="preserve">Capacitar a los  Supervisores de Contrato y Apoyos a la Supervisión con el proposito de orientar en la correcta presentación de la documentación y los aplicativos correspondientes. </t>
  </si>
  <si>
    <t>Registro de Asistencia</t>
  </si>
  <si>
    <t xml:space="preserve">Anual </t>
  </si>
  <si>
    <t>No. Capacitaciones Realizadas (01)</t>
  </si>
  <si>
    <t>Tecnologia</t>
  </si>
  <si>
    <t xml:space="preserve">Falta de implementación adecuada para la alimentación en el SECOP II,  de la  informaciòn a cargo del Concejo </t>
  </si>
  <si>
    <t>No se cuenta con usuarios, ni capacitaciòn suficiente en SECOP II</t>
  </si>
  <si>
    <t>Demora en los pagos a los contratistas.</t>
  </si>
  <si>
    <t>3.3. Recibido el Informe final de la ejecuciòn del contrato por parte del Supervisor, los apoyos a la supervisiòn de los contratos proceden a verificar la documentaciòn y soportes aportados (Ej: Pago seguridad social, Informe de Supervisiòn Periodica, Facturas si aplica, Informe de Ejecuciòn Mensual y Final, entre otros), siendo correcto se procede a elaborar oficio remisiorio a la SDH. En caso de evidenciar observaciones se devuelve al supervisor para los correspondientes ajustes.</t>
  </si>
  <si>
    <t xml:space="preserve">Actualizar el Instructivo GF-IN-03, para establecer los lineamientos frente a la exigencia de las evidencias que deben presentar en desarrollo de la ejecuciòn del contrato. </t>
  </si>
  <si>
    <t>Instructivo GN-IN-03 actualizado</t>
  </si>
  <si>
    <t>06/12/2019</t>
  </si>
  <si>
    <t>Nro. Instructivos actualizados.  (01)</t>
  </si>
  <si>
    <t>Generar detrimento patrimonial por el pago sin la verificaciòn de la prestaciòn de servicio o la entrega de bienes contratados.</t>
  </si>
  <si>
    <t>Evaluación</t>
  </si>
  <si>
    <t>Corrupciòn</t>
  </si>
  <si>
    <t>Corrupcion</t>
  </si>
  <si>
    <t xml:space="preserve"> Actividad 5,15  EVI-PR-001 Analizar las no conformidades, recomendaciones u oportunidades de mejora en mesa de trabajo. </t>
  </si>
  <si>
    <t>Asumir</t>
  </si>
  <si>
    <t xml:space="preserve"> Actividad 5,15  EVI-PR-001 Efectuar mesa de trabajo con el fin de revisar las no conformidades, recomendaciones u oportunidades de mejora detectadas en la auditoría .</t>
  </si>
  <si>
    <t>Acta de Comité o Reunión  (GDOFO-002)</t>
  </si>
  <si>
    <t xml:space="preserve">En cada Auditoria </t>
  </si>
  <si>
    <t>No  de mesa de trabajo realizadas para validar informes de Auditoría/ Informes de Auditoría Realizados.</t>
  </si>
  <si>
    <t xml:space="preserve">ocultamiento de hechos relevantes que afecten la administracion </t>
  </si>
  <si>
    <t>Tecnología</t>
  </si>
  <si>
    <t>Sistemas de Información susceptibles de manipulación o adulteración por personas no autorizadas.</t>
  </si>
  <si>
    <t>Acceso indebido, hurto, manipulación o adulteración de la información para beneficio propio o de un tercero.</t>
  </si>
  <si>
    <t>Perdida de la información 
Perdida de la imagen y reputación.
Sanciones disciplinarias.
Sanciones penales.
Sanciones fiscales</t>
  </si>
  <si>
    <t>Elaboración de copias de respaldo de la información por parte del profesional asignado del proceso de Sistemas y Seguridad de la Información, en los tiempos establecidos en el procedimiento. En caso de que no se realice la copia de forma automática se efectuará de forma manual.</t>
  </si>
  <si>
    <t>Sensibilización o divulgación de lo establecido en el Manual de políticas de seguridad de la información.</t>
  </si>
  <si>
    <t>Evidencias de las actividades realizadas (Correos con las divulgaciones, fotos y registros de asistencias, entre otras)</t>
  </si>
  <si>
    <t>Dirección administrativa - Proceso de Sistemas y Seguridad de la Información</t>
  </si>
  <si>
    <t>Diciembre 2019</t>
  </si>
  <si>
    <t>Número de actividades de sensibilización o divulgación realizadas</t>
  </si>
  <si>
    <t>Falta de definición e implementación de controles para el acceso a la información.</t>
  </si>
  <si>
    <t>Cada servidor público del Concejo de Bogotá da cumplimiento del Manual de Políticas de seguridad de la información de forma permanente. En caso de no dar cumplimiento se llevan a cabo las acciones disciplinarias a que se dé lugar.</t>
  </si>
  <si>
    <t xml:space="preserve">Acceso indebido a los sistemas </t>
  </si>
  <si>
    <t>Obstaculización de un sistema informático del Concejo de Bogotá para beneficio propio o de un tercero</t>
  </si>
  <si>
    <t>Perdida de la imagen y reputación.
Sanciones disciplinarias.
Sanciones penales.
Sanciones fiscales</t>
  </si>
  <si>
    <t>El responsable del sistema garantiza de forma permanente que los sistemas estén actualizados a la versión mas estable del fabricante o proveedor. En caso de no poder actualizar los sistemas se aplican controles alternos.</t>
  </si>
  <si>
    <t>Realizar monitoreo de los sistemas de información.</t>
  </si>
  <si>
    <t>Reporte generado por la plataforma de monitoreo</t>
  </si>
  <si>
    <t>Número de incidentes presentados</t>
  </si>
  <si>
    <t>Tecnológicos</t>
  </si>
  <si>
    <t>Vulnerabilidades de las plataformas de los sistemas informáticos</t>
  </si>
  <si>
    <t>Debilidad en los controles e instrumentos de reporte de avance y de seguimiento de los planes de acción institucionales.</t>
  </si>
  <si>
    <t>Manipulación de información de reportes de seguimiento de avances de planes de acción institucional para beneficio individual.</t>
  </si>
  <si>
    <t>*Reducción de los impactos de la gestión de la entidad. 
*Decisiones tomadas con base en información imprecisa. 
*Pérdida de credibilidad por parte de los ciudadanos.</t>
  </si>
  <si>
    <t xml:space="preserve">Cada lider de proceso establece sus actividades a incluir en los planes de acción institucionales y estos son remitidos a la Oficina Asesora de Planeación para su revisión y aval. Cada lider de proceso reporta trimestralmente los informes de avance de los planes de acción institucional.  La OAP revisa la coherencia del reporte y en caso de encontrar inconsistencias solicita los ajustes a las areas responsables, luego de lo cual consolida el informe de avances del plan de acción y lo presenta al equipo directivo, destacando las desviaciones frente a lo programado para que los responsables tomen las medidas de ajuste. El informe de avances del plan de acción se publica en la red interna, la intranet y la pagina web.  </t>
  </si>
  <si>
    <t>Compartir</t>
  </si>
  <si>
    <t xml:space="preserve">Actualizar el Procedimiento de Formulación y Seguimiento del Plan Estratégico y el Plan de Acción Anual incluyendo la revisión por parte del Comité Institucional de Gestión y Desempeño de los seguimientos trimestrales al avance del plan de acción consolidado por la Oficina Asesora de Planeación. </t>
  </si>
  <si>
    <t>Procedimiento actualizado</t>
  </si>
  <si>
    <t>Jefe Oficina Asesora de Planeación</t>
  </si>
  <si>
    <t>31 de Diciembre de 2019</t>
  </si>
  <si>
    <t>Procedimiento actualizado.</t>
  </si>
  <si>
    <t xml:space="preserve">Alta exposición y facil acceso a la Corporación de los actores externos. </t>
  </si>
  <si>
    <t>Intención de un tercero de utilizar el prestigio  de la Corporación, a través de la Oficina Asesora de Comunicaciones, para favorecer sus intereses personales.</t>
  </si>
  <si>
    <t>Manejo inadecuado de divulgación de la información, a través de la Corporación, para favorecer a un tercero.</t>
  </si>
  <si>
    <t>Afectación de la imagen  y credibilidad ante la ciudadanía de la labor institucional.
Acciones disciplinarias.</t>
  </si>
  <si>
    <t xml:space="preserve">El Jefe de la Oficina de Comunicaciones con su equipo revisa los contenidos a publicar en los diferentes medios  de la Corporación, en caso de encontrar inconsistencia con la norma se solicita concepto a la Oficina Juridica. </t>
  </si>
  <si>
    <t>Actualizar la normatividad de la Corporación relacionada con los protocolos para la publicación de contenidos oficiales en pagina web e intranet.</t>
  </si>
  <si>
    <t xml:space="preserve">Documento del sistema de gestión formalizado. </t>
  </si>
  <si>
    <t>Comité institucional de gestión y desempeño , con el apoyo del Equipo técnico de información y  comunicación pública… Resolución 388 de 2019.</t>
  </si>
  <si>
    <t>1 año</t>
  </si>
  <si>
    <t>Documento oficializado</t>
  </si>
  <si>
    <t xml:space="preserve">Debilidad en los canales de radicación, trazabilidad  e implementación de los procedimientos de gestión de las PQRS  que ingresan a la Corporación. 
</t>
  </si>
  <si>
    <t xml:space="preserve">Posibilidad de omitir, retardar injustificadamente las respuestas a las PQRS dentro de la normatividad vigente,  con el fin de favorecerse o favorecer a un tercero. </t>
  </si>
  <si>
    <t>*Sanciones disciplinarias, fiscal o penales.
*LImitar el ejercicio de control social por parte del ciudadano. 
*Violacion de los principios de transparencia.</t>
  </si>
  <si>
    <t xml:space="preserve">Las peticiones que ingresan por diferentes canales son registradas en el SDQS, son direccionadas por los funcionarios de atención a la ciudadania a los directivos y cabildantes responsables de la respuesta. Los reponsables dan respuesta dentro de sus competencias observando los principios y estandares de contenido y oportunidad, y deben subirla de inmediato en la plataforma del SDQS para conocimiento del peticionario y para seguimiento institucional. 
Los funcionarios de atención a la ciudadania ingresan la información de las SDQS mensuales en una base de datos en excel, para que al final del periodo el Defensor del Ciudadano realice el cruce con el reporte de gestión generado por la Secretaria General de la Alcaldia Mayor. El sistema SDQS manda automaticamente un alerta al usuario de la plataforma indicando la fecha de vencimiento de la petición. 
El Defensor del ciudadano hace el seguimiento periodico de las SDQS, verificando el estado del tramite y en el caso de no cumplir con los estandares de contenido y oportunidad  se realizan  las correspondientes reiteraciones para que se emita la respuesta y se cierre el requerimiento. </t>
  </si>
  <si>
    <t>Actualizar el proceso, los procedimientos, y formatos de atención al ciudadano incluyendo las herramientas tecnologicas y la capacitación del talento humano encargado de conocer los tramites.
Adoptar el Manual de Atención a la Ciudadanía.</t>
  </si>
  <si>
    <t>Documentos del proceso de atención al ciudadano actualizados y adoptados.</t>
  </si>
  <si>
    <t>Director técnico juridico</t>
  </si>
  <si>
    <t>31 diciembre 2019</t>
  </si>
  <si>
    <t>8 documentos del proceso de atención al ciudadano actualizados.</t>
  </si>
  <si>
    <t xml:space="preserve">Debilidades en los canales de atención al ciudadano.
</t>
  </si>
  <si>
    <t>Posibilidad de no dar  trato igualitario dentro del proceso de atención al ciudadano con el fin de favorecer a un tercero. (TRANSPARENCIA ACTIVA)</t>
  </si>
  <si>
    <t>*Sanciones disciplinarias'
Perdida de credibilidad con la ciudadania</t>
  </si>
  <si>
    <t xml:space="preserve">La auxiliar de atención al ciudadano registra en el formato AC PR001F05 las personas que requieren atención en orden de llegada, se brinda la atención y orientación inicial  y de alli se traslada al funcionario del area para que ingresen la SDQS verbal o escrita. </t>
  </si>
  <si>
    <t>Inoportuna</t>
  </si>
  <si>
    <t>No es un control</t>
  </si>
  <si>
    <t>No confiable</t>
  </si>
  <si>
    <t>Incompleta</t>
  </si>
  <si>
    <t>Implementar el digiturno en la Corporación para garantizar el trato igualitario a las personas que solicitan la atención garantizando los criterios de atención diferencial.</t>
  </si>
  <si>
    <t>Digiturno implementado.</t>
  </si>
  <si>
    <t xml:space="preserve">Dirección Adminsitrativa
Dirección Tecnica Jurídica - Atención al Ciudadano </t>
  </si>
  <si>
    <t>1 digiturno implementado</t>
  </si>
  <si>
    <t xml:space="preserve">
3 documentos  actualizados en el SIG. </t>
  </si>
  <si>
    <t>15 de Diciembre de 2019.</t>
  </si>
  <si>
    <t>Director Administrativo.</t>
  </si>
  <si>
    <t>Documentos actualizados en el SIG.</t>
  </si>
  <si>
    <t>Actualizar los procedimientos de Plan de Bienestar e Incentivos y Capacitación a Funcionarios y el formato de inscripción a actividades de bienestar y capacitación en el cual se incluya el tipo de vinculación de la persona con la entidad y que controle el registro de personas que tienen derecho a participar.</t>
  </si>
  <si>
    <t>No existe</t>
  </si>
  <si>
    <t>Los funcionarios del componente de bienestar y capacitación realizan la inscripción de los funcionarios que van a participar en las actividades, con el fin de verificar el cumplimiento de requisitos y los cupos disponibles. En el desarrollo de las actividades se llevan planillas de asistencia de los participantes. En el caso de encontrar personas inscritas para participar en las actividades que no cumplen los requisitos se informa a la persona.</t>
  </si>
  <si>
    <t>*Acciones disciplinarias y fiscales</t>
  </si>
  <si>
    <t>Posibilidad de favorecer a personas que no cumplan los requisitos en los planes de  bienestar o capacitación con el fin de beneficiar a particulares.</t>
  </si>
  <si>
    <t xml:space="preserve">Intereses y presiones de actores internos o  externos para favorecer a un particular. </t>
  </si>
  <si>
    <t>2 formatos adoptados en el SIG.</t>
  </si>
  <si>
    <t>Formatos adoptados en el SIG.</t>
  </si>
  <si>
    <t xml:space="preserve">Crear el formato de revisión de cumplimiento de requisitos de nombramiento.
Actualizar el formato de verificación de antecedentes. 
</t>
  </si>
  <si>
    <t xml:space="preserve">El responsable de proyectar el acto administrativo verifica el cumplimiento de los requisitos establecidos en el procedimiento y en la norma, el documento proyectado es revisado por el asesor y entregado a la Dirección admnistrativa para la revisión, aprobación y certificación  del cumplimiento en los casos en que se requiere. 
En caso de que se encuentre una desviación el punto de control en el que se detecto lo devuelve a donde se origino el documento para su revisión y ajuste. </t>
  </si>
  <si>
    <t xml:space="preserve">Sanciones Disciplinarias.
Sanciones Fiscales.
Sanciones Penales.
Afectación en la calidad en la prestación del servicio
</t>
  </si>
  <si>
    <t>Realizar actuaciones administrativas (nombramiento de funcionarios, encargos, reconocimiento de primas tecnicas, sin el lleno de los requisitos legales o reglamentarios para favorecer a un tercero.</t>
  </si>
  <si>
    <t>Presión de terceros para incidir en las decisiones de la Dirección Jurídica.</t>
  </si>
  <si>
    <t>Avalar la expedición de actos administrativos y emitir conceptos por fuera del marco legal con el fin de favorecer el interes de un tercero.</t>
  </si>
  <si>
    <t>*Toma decisiones administrativas en contravía del ordenamiento jurídico.
*Posible investigacion penal, disciplinaria y/o fiscal.
* Acciones contencioso administrativas.
*Acción de Repeticion contra el funcionario que decide.
*Afectacion imagen institucional.</t>
  </si>
  <si>
    <t>El profesional asignado al tema revisa el acto administrativo o proyecta el concepto solicitado y lo entrega al Director Jurídico, quien revisa y aprueba. En caso de encontrar alguna inconsistencia el Director Jurídico ordena efectuar el correspondiente ajuste.</t>
  </si>
  <si>
    <t>Las personas a las que se les asignan los recuros tienen intención de manera directa o por presión de un tercero interno externo de darles usos diferentes a los estrictamente establecidos por la entidad para su beneficio personal.</t>
  </si>
  <si>
    <t xml:space="preserve">Posibilidad de dar uso indebido a los vehiculos propios asignados a directivos y de apoyo a la gestión de la Corporación por Secretaria de Hacienda en benificio de terceros o particulares. </t>
  </si>
  <si>
    <t xml:space="preserve">Investigaciones disciplinarias
Investigaciones fiscales
Investigaciones penales
Detrimento patrimonial
Perdida de imagen institucional 
</t>
  </si>
  <si>
    <t xml:space="preserve">La mesa directiva asigna mediante resolución, a los directivos y a las dependencias a su cargo  los vehiculos para cubrir las necesidades propias del cargo y de dicha dependecia, con el fin de formalizar las condiciones de la prestación del servicio. Esta resolución se expide cada vez que hay cambio de directivo. 
</t>
  </si>
  <si>
    <t xml:space="preserve">Adoptar reglamento para la administraciòn, uso y manejo del parque autormotor propio al servicio del Concejo de Bogota. </t>
  </si>
  <si>
    <t xml:space="preserve">Reglamento para la administraciòn, uso y manejo del parque autormotor propio al servicio del Concejo de Bogota adoptado. </t>
  </si>
  <si>
    <t xml:space="preserve">Dirección administrativa </t>
  </si>
  <si>
    <t>15 de Diciembre de 2019</t>
  </si>
  <si>
    <t xml:space="preserve">1 Reglamento para la administraciòn, uso y manejo del parque autormotor propio al servicio del Concejo de Bogota adoptado. </t>
  </si>
  <si>
    <t>Debilidad en los lineamientos, directirices o controles en la utilización de los recursos.</t>
  </si>
  <si>
    <t>Los vehiculos de apoyo misional son administrados por la dirección administrativa, su programación depende de las necesidades del servicio y se programa de acuerdo a los requerimientos recibidos con justificación del solicitante, autorizaciòn dela direcciòn administrativa y reporte del servicip prestado por parte del conductor: No se deja evidencia documental de la programación y del uso, se realiza de manera verbal.  En caso de detectar un uso  diferente del vehiculo se hace el llamado de atenciòn verbal.</t>
  </si>
  <si>
    <t xml:space="preserve">Posibilidad de dar uso indebido a los recursos e insumos de  servicios generales, mantenimiento,   en benificio de terceros o particulares. </t>
  </si>
  <si>
    <t>Las solicitudes para retirar los elementos de la Corporación son revisadas por la Dirección Administrativa cada vez que se solicita el retiro del bien,  con el fin de verificar cual va a ser el uso y el destino del mismo. Posteriomente expide un correo u oficio de autorización que debe ser presentado a la empresa de vigilancia para retirar el bien de las instalaciones de la Corporación. La novedad del retiro del bien es registrada en la minuta de la vigilancia  En caso de que se intente retirar un bien sin la autorización correspondiente la empresa de vigilancia informa al apoyo a la supervisión del contrato y no permite el retiro del bien.</t>
  </si>
  <si>
    <t>Seguimiento 2do Cuatrimestre a 31 Agosto 2019</t>
  </si>
  <si>
    <t>SI</t>
  </si>
  <si>
    <t>NO</t>
  </si>
  <si>
    <t>¿Se materializó el Riesgo de Corrupación?
(Marque con una X)</t>
  </si>
  <si>
    <t xml:space="preserve">Frente a los Controles Propuestos </t>
  </si>
  <si>
    <t>¿Se aplicaron los controles? (SI o NO)</t>
  </si>
  <si>
    <t>Evidencias de la ejecución de los controles: ¿Se cuenta con pruebas del control? (¿dónde?)</t>
  </si>
  <si>
    <t>Efectividad de los controles: ¿Previenen  o detectan  las causas , son  confiables para la mitigación del riesgo?</t>
  </si>
  <si>
    <t xml:space="preserve">Frente a las Actividades del Plan de Tratamiento </t>
  </si>
  <si>
    <t>X</t>
  </si>
  <si>
    <t>Para el trimestre de Julio a Septiembre de 2019 se realizo:
Se hace mesa de trabajo con los supervisores de contratos y apoyos a la supervisión:
- Dirección Financiera (Cordis IE 12396)
- Secretaria General (Cordis IE 12391)
- Oficina Asesora Planeación (Cordis IE12394)
- Dirección Administrativa (Cordis IE 12390)
- Dirección Juridica (Cordis IE 12392)
- Oficina Asesora de Comunicaciones (Cordis IE12395)
Para evidenciar observaciones en el ejercicio de la supervisión y formular acciones que correspondan.</t>
  </si>
  <si>
    <t>Acta de Reunión con las observaciones y acciones a realizar en el ejercicio de la supervisión.</t>
  </si>
  <si>
    <t>Acta de Reunión 1 de 2019.</t>
  </si>
  <si>
    <t>Se encuentra en revisión el ajuste del formato (GF-PR006-FO3) Informe de Supervisión Periódica mediante mesas de trabajo con la Dirección de Gestión Corporativa de la Secretaria Distrital de Hacienda. Una vez ajustado se realizara la actualización del Instructivo.</t>
  </si>
  <si>
    <t>Resoluciones de la Mesa Directiva en las que asignan los vehiculos a los directivos, copia de las cuales reponsan en la oficina de movilidad.</t>
  </si>
  <si>
    <t>Se realiza de manera verbal y a través de Whats app</t>
  </si>
  <si>
    <t>Antes de retirar cualquier bien del CAD, se llena un formato de la Secretaria de Hacienda, que firma la Dirección Administrativa y queda una copia en los puestos de vigilancia</t>
  </si>
  <si>
    <t>No se programó actividad en el segundo cuatrimestre</t>
  </si>
  <si>
    <t>NA</t>
  </si>
  <si>
    <t xml:space="preserve">Existe un borrador del regalmento el cual se encuentra en proceso de revisión por parte de los asesores de la Dirección Adminsitartiva con el propósito de válidar su contenido. </t>
  </si>
  <si>
    <t xml:space="preserve">Borrador de regalmento de uso de los vehiculos. </t>
  </si>
  <si>
    <t xml:space="preserve">La Politítica  de Atención  ya  fue elaborada y publicada por la  Oficina Asesora de Planeación. </t>
  </si>
  <si>
    <t xml:space="preserve">El Manual de Atención al ciudadano  ya se encuentra elaborado y  aprobado por la Oficina  Asesora de  Planeación. </t>
  </si>
  <si>
    <t>Se realizó una reuníon de socialización con los funcionarios del proceso de Atención al Ciudadano y una con los asesores de la Dirección Administrativa.</t>
  </si>
  <si>
    <t xml:space="preserve">De acuerdo a lo solicitado por la Secretaría de Transparencia de Presidencia de la República, respecto al cierre del compromiso 23 Concejo Abierto, el 31 de julio de 2019 se procedió a cargar nuevos documentos en el One Drive  en las Carpetas de las Actividades 2, 3 y 4 del Compromiso 23 “Concejo Abierto”, así:
Actividad 2: Documento 14. Participación ITB 2018-2019
Actividad 3: Documento 3 Plan Anticorrupción y Atención a la Ciudadanía 2019 y Documento 4. Política Anticorrupción.
Actividad 4: Documento 15. PETIC Concejo de Bogotá D.C. Síntesis 2019, Documento 16. PETIC Concejo de Bogotá 2019 y Documento 17. Certificación ISO 27001:2013.
Igualmente, se actualizó la matriz en las columnas descripción de acciones, soporte, y observaciones.
Por lo anterior, se solicitó actualizar el porcentaje (%) de cumplimiento del Concejo de Bogotá, D.C. del Compromiso AGA </t>
  </si>
  <si>
    <t>En acta del 2 de septiembre de 2019, el Director Jurídico, junto con los profesionales del proceso de gestión jurídica,dejaron constancia que en los actos administrativos expedidos en  se ha respetado el ordenamiento jurídico superior y la garantía del debido oproceso.</t>
  </si>
  <si>
    <t>Se realiza capacitación de la Guia de Supervisión de Contratación por parte de la Dirección de Gestión Corporativa de la Secretaria Distrital de Hacienda el pasado 27 de Junio de 2019. A los Supervisores y a los designados de Apoyo a la Supervisión.</t>
  </si>
  <si>
    <t xml:space="preserve">Registro de asistencia a la capacitación de contratos, guia de supervisión y obligaciones interventoria. Fecha 27-06-2019. </t>
  </si>
  <si>
    <t>Registro de asistencia 27-06-2019</t>
  </si>
  <si>
    <t>Registro de asistencia.</t>
  </si>
  <si>
    <t>Mesas de trabajo entre Fondo Cuenta del Concejo de Bogotá con la Dirección de Gestión Corporativa de la Secretaria Distrital de Hacienda para revisión del formato  (GF-PR006-FO3) Informe de Supervisión Periódica</t>
  </si>
  <si>
    <t>Los formatos diligenciados de solicitud de consulta y/o préstamo de documentos se encuentran ubicados en el área de antención al usuario de la biblioteca.</t>
  </si>
  <si>
    <t>Es confiable por que el prestamo se realiza en sala y se recupera el material de consulta en la misma jornada.</t>
  </si>
  <si>
    <t>Se cuenta con el procedimiento de consulta y prestamo de documentos de archivo aprobado con código GDO-PR-001 de fecha 05 de julio de 2019 y su respectivo formato de consulta y prestamo de documentos de archivo con código GDO-FO-013 de fecha 05 de julio de 2019.</t>
  </si>
  <si>
    <t>Carpeta Planeación_SIG, Ruta U:\Manual de Procesos y Procedimientos\13-Gestión Documental\3_Procedimientos
Carpeta Planeación_SIG, Ruta U:\Manual de Procesos y Procedimientos\13-Gestión Documental\8_Formatos</t>
  </si>
  <si>
    <t>Mediante los registros de la herramienta con la cual se realizan las copias de respaldo</t>
  </si>
  <si>
    <t>Se realizo divulgación del manual de politicas de seguridad medienta correo institucional a todos los servidores de la corporación el día 28 de mayo de 2019</t>
  </si>
  <si>
    <t>el manual se encuentra publidado en la ruta http://concejodebogota.gov.co/cbogota/site/artic/20171122/asocfile/20171122091600/ssi_ma001_manual_de_pol__ticas_de_seguridad_de_la_informaci__n.pdf
Correo institucional del 28 de mayo de 2019 remitido por la Dirección Administrativa</t>
  </si>
  <si>
    <t>El Manual de Políticas de seguridad de la información se encuentra disponible en la pagina web de la corporación, adicional se divulgo por el correo institucional.</t>
  </si>
  <si>
    <t>Mediante las hojas de servicios de los proveedores y en los registros de las plataformas se pueden evidenciar las actualizaciones</t>
  </si>
  <si>
    <t>Se realizaron actualizaciones a las plataformas de mesa de ayuda, WIFI y Antivirus de la corporación</t>
  </si>
  <si>
    <t>Documentación de los contratos 190260, 180443 y 190270
Registro de eventos de las diferentes plataformas</t>
  </si>
  <si>
    <t xml:space="preserve">EN  ESTE  MOMENTO  NOS ENCONTRAMOS  ADELANTANDO  JUNTO CON  PLANEACION  LA ACTUALIZACION DE LOS RIESGOS DEL PROCESO. </t>
  </si>
  <si>
    <t>El documento se encuentra en construcción por parte de la Oficina Asesora de Planeación</t>
  </si>
  <si>
    <t>Se culminó la actualización del Mapa de Riesgo de Corrupción actualizado a la nueva metodología, documento que fue publicado en la red interna y se remitió a todos los procesos a través del Correo electrónico</t>
  </si>
  <si>
    <t>Red interna, y  correo electrónico</t>
  </si>
  <si>
    <t>Se requirió a todos los procesos el seguimiento al mapa de riesgos de corrupción el cual fue reportado por correo electrónico</t>
  </si>
  <si>
    <t xml:space="preserve">Se evidencia a través de los correos electrónicos de los responsables de los procesos, con su asesor de la OAP, y la retroalimentación desde el punto de vista metodologíco de la Oficina Asesora de Planeación. </t>
  </si>
  <si>
    <t xml:space="preserve">Se adelantá la actividad en los plazos establecidos en la metodología de planeción de la entidad. </t>
  </si>
  <si>
    <t>correo eletrónico</t>
  </si>
  <si>
    <t xml:space="preserve">No </t>
  </si>
  <si>
    <t>Si</t>
  </si>
  <si>
    <t xml:space="preserve">En los archivos del area se encuentran los documentos que sopotan con pruebas el cumplimien to de los procedimientos </t>
  </si>
  <si>
    <t xml:space="preserve">Si mejoro en cuanto a la disminución e identificación d elo errores. </t>
  </si>
  <si>
    <t xml:space="preserve">Se han verificado los  actos administrativos,  revisando  el cumplimiento de los requisitos establecidos en el procedimiento y en la norma., logrando mayor efectividad. </t>
  </si>
  <si>
    <t xml:space="preserve">En los archivos del área aparecen los actos administrativos firmados y avlaudaos con las respectivas revisiones. </t>
  </si>
  <si>
    <t>Se realizó seguimiento a los formatos de inscripción  para las actividades de mayo a agosto desde los formularios en linea  de google Docs, al incluir en el formato el tipo de vinculación y nivel jerárquico</t>
  </si>
  <si>
    <t xml:space="preserve">Se previene la inscripción de personas que por su tipo de vinculación no deban participar en las actividades de Bienestar, Capacitación e Incentivos </t>
  </si>
  <si>
    <t>No hay meta programada para el cruatrimestre. Se acaba de actualizar el riesgo y esta prevista para el  ultimo cuatrimestre.</t>
  </si>
  <si>
    <t>Con fecha 9 de agosto del presente año, se remite a la Mesa Directiva el Informe de las PQRSD correspondiente al Primer Semestre del año 2019.</t>
  </si>
  <si>
    <t>Publicación Red Interna de la Corporación-Año: 2019-Seg. PQRSD</t>
  </si>
  <si>
    <t>Cumplido y reportado en periodo anterior</t>
  </si>
  <si>
    <t>En Comité Institucional de Gestión y Desempeño, se aprobó la reprogramación de esta actividad para el 31 de diciembre de 2019</t>
  </si>
  <si>
    <t>Acta de CIGD</t>
  </si>
  <si>
    <t>Con fecha 30 de agosto se realizo la actualizacion del Boton de transparencia
2 de 3 = 66,7%</t>
  </si>
  <si>
    <t>http://concejodebogota.gov.co/transparencia/cbogota/2019-03-20/083307.php
PAGINA WEB</t>
  </si>
  <si>
    <t>Se cuenta con botón actualizado para consulta de los usuarios. El botón de RdC interactua con el de Onformes de Gestión 
Espacio virtual visible en la página web del Concejo de Bogotá D.C. (100%)</t>
  </si>
  <si>
    <t>PAGINA WEB
http://concejodebogota.gov.co/rendicion-de-cuentas-i-semestre-2019/cbogota/2019-08-09/142020.php</t>
  </si>
  <si>
    <t xml:space="preserve">Se publicaron los informes de RdC en página WEB </t>
  </si>
  <si>
    <t>PAGINA WEB
http://concejodebogota.gov.co/informes-de-gestion-primer-semestre-2019/cbogota/2019-06-21/164401.php</t>
  </si>
  <si>
    <t>El informe institucional correspondiente al primer semestre de 2019 se publicó en página web
(1 de 2 =50%)</t>
  </si>
  <si>
    <t>Página web:    
http://concejodebogota.gov.co/cbogota/site/artic/20190809/asocfile/20190809142020/inf_seguimiento_audiencia_publica_1er_semestre_2019.docx</t>
  </si>
  <si>
    <t>En pàgina web se encuentra publicado el informe de gestiòn consolidado de la Corporación correspondiente al semestre 1 de 2019, y en la sección de la OAC se presenta la información de publicación en redes. El total de publicaciones en redes asciende a mas de 1095 para el mes de mayo y junio</t>
  </si>
  <si>
    <t>En pagina web  http://concejodebogota.gov.co/cbogota/site/artic/20190621/asocfile/20190621164751/informe_de_gestion_i_semestre_2019_concejo_de_bogota.pdf</t>
  </si>
  <si>
    <t xml:space="preserve"> El 31 de julio de 2019, se realizó la primera audiencia en el auditorio de compensar
La 2da audiencia esta programada para dic de 2019</t>
  </si>
  <si>
    <t>En pagina web 
http://concejodebogota.gov.co/rendicion-de-cuentas-i-semestre-2019/cbogota/2019-08-09/142020.php</t>
  </si>
  <si>
    <t xml:space="preserve">Se realizaron 9 salidas a 5 centros comerciales y a 4 localidades de la ciudad en el mes de julio de 2019. </t>
  </si>
  <si>
    <t>En pagina WEB 
http://concejodebogota.gov.co/rendicion-de-cuentas-i-semestre-2019/cbogota/2019-08-09/142020.php</t>
  </si>
  <si>
    <t>En el desarrollo de la audiencia de Rendición de Cuentas se recepcionaronen total 639 preguntas, que no se alcanzaron a responder a lo largo de la misma y se registraron como derecho de petición ingresados al SDQS y remitidas para respuesta al área encargada de contestarlas en términos.
En tal sentido no quedaron preguntas pendientes de resolver por parte del proceso de Atención a la Ciudadanía</t>
  </si>
  <si>
    <t>Sistemas SDQS - Informe Mensual Oficina Atenciòn al Ciudadano</t>
  </si>
  <si>
    <t xml:space="preserve">Se realizo la campaña de RdC interna , con la elaboracion de videos, banner en pagina web, wall papers para los computadores, cuñas.  
Igualmente se utilizaron mecanismos similares para convocar de manera abierta  a los ciudadanos </t>
  </si>
  <si>
    <t>Se programó la entrega de ocho (8) certificaciones de participación a ciudadanos de diferentes colectivos, previo sorteo entre los asistentes de cada uno de los centros comerciales y de las cuatro (4) localidades ya mencionadas.</t>
  </si>
  <si>
    <t>Se suministró encuesta (GDE-FO-007) a los 342 asistentes de la audiencia de rendición de cuentas del Concejo de Bogotá D.C., realizada el 31 de Julio de 2019, de los cuales 215 la diligenciaron. 
La segunda aplicación se realizarà en ejecución de la segunda audiencia públcia de RdC.</t>
  </si>
  <si>
    <t>Las encuestas se encuentran bajo custodia de la líder del eqipo técnico y los resultados y análisis se pueden consultar en el Informe de seguimiento de la audiencia pública de rendicion de cuentas disponible en web</t>
  </si>
  <si>
    <t>Se encuentra en proceso de elaboración para revisión y firma de la mesa directiva</t>
  </si>
  <si>
    <t>Se proyecto acto administartivo de adopción del Código de Integridad, se encuentra en revisión el la Dirección Juridíca</t>
  </si>
  <si>
    <t>Correo envío a la Dirección Juridíca del proyecto de acto administrativo</t>
  </si>
  <si>
    <t>No se ha presentado el riesgo indicado, se realizan los procedimientos de revision permanente de lo que se publica en pagina web, para este 2do cuatrimestre no se ha presentado ningun caso</t>
  </si>
  <si>
    <t>Son efectivos y confiables los controles, no se publican informaciones inadecuadas</t>
  </si>
  <si>
    <t>No se han presentado situaciones de riesgo
No ha sido necesario aplicar el pla de tratamiento de realizar consulta juridica</t>
  </si>
  <si>
    <t>NO hay, por que no se ha utilizado</t>
  </si>
  <si>
    <t>Registro fisico en Carpeta de cada auditoria</t>
  </si>
  <si>
    <t>Mesa de trabajo realizadas para validar informes de Auditoría Realizados</t>
  </si>
  <si>
    <t xml:space="preserve">No obstante se realizó la revisión en el mes de enero del presente año, en agosto de 2019 se ajustaron la totalidad de riesgos de corrupciòn acorde a la nueva metodologìa del DAFP. </t>
  </si>
  <si>
    <t>Matriz de seguimiento Mapa de riesgos de corrupción</t>
  </si>
  <si>
    <t>Se incluyo en el Plan de Capacitación 2019 los temas de formación Estatuto Anticorrucpción y Servicio al Ciudadano (16-08-2019 a 15-11-2019)  y Atención al Ciudadano (4-12-2019 a 6-12-2019)</t>
  </si>
  <si>
    <t>Cronograma del Plan Institucional de Capacitación y Registros de Incripción y listas de asistencia</t>
  </si>
  <si>
    <t>Red Interna/PLANEACION SIG/Transparencia</t>
  </si>
  <si>
    <t xml:space="preserve">Memorando 2019IE11472 del 15 de agosto de 2019. El día 16 de agosto del año 2019, se realizó reunión del Equipo Técnico de Transparencia, en donde se revisaron los aspectos a mejorar y ajustar, con el propósito de cumplir con el reporte del ITA a la Procuraduría General de la Nación. </t>
  </si>
  <si>
    <t xml:space="preserve">Se efectuó el ejercicio de rendición de cuentas correspondiente al 1er semestre del año 2019, se desarrollarón en un 100% 08 actividades de las 18 programadas, una actividad presenta avance del 83,7%,  2 actividades en 66,7%,  4 actividades en 50% y  4 actividades en 0% </t>
  </si>
  <si>
    <t>Videos, registro fotográfico y formatos
Informe de seguimiento de la audiencia pública de rendicion de cuentas disponible en web.</t>
  </si>
  <si>
    <t>x</t>
  </si>
  <si>
    <t xml:space="preserve">Se encuentra la prueba de control en la intranet de la corporación en donde se encuentran todas las convocatorias y los sorteos realizados </t>
  </si>
  <si>
    <t>La aletoriedad con la cuel se realiza el proceso hace que que la actividad hace que todo el ejetrcicio sea confiable</t>
  </si>
  <si>
    <t xml:space="preserve">Se realizó la convocatoria y el sorteo debido </t>
  </si>
  <si>
    <t>Archivos digitales que se encuentran publicados en la intranet de la corporación. Dentro de la carpeta de la Secretaria General</t>
  </si>
  <si>
    <t>Se evidencian en el formato (GNV-CTP-ESP-FO-F013)</t>
  </si>
  <si>
    <t>Es confiable ya que es registro es electronico y se valida con los audios de cada una de las sesiones</t>
  </si>
  <si>
    <t>Es confiable ya que es registro es electronico y se valida con los audios de cada una de las cesiones</t>
  </si>
  <si>
    <t xml:space="preserve">Se realizaron en el mes de Julio 22 seciones o comisiones, y en el mes de Agosto se levaron a cabo  23 seciones o comisiones en las cuales se realizaron las verificaciones de las votaciones de registro suministrado por sistemas </t>
  </si>
  <si>
    <t>si</t>
  </si>
  <si>
    <t>Si ya que se acogen al estipulado por la ley</t>
  </si>
  <si>
    <t>Se realizo un proceso en el cual se eligieron los Subsecretrarios y el Secretario General cunplimiento de ley</t>
  </si>
  <si>
    <t xml:space="preserve">En la carpeta de supervisión de los contratos </t>
  </si>
  <si>
    <t xml:space="preserve">Es efectivo el control por cuanto, al diligenciar el formato de votación se coteja con el video de la sesion y los registros de votación expedido por el sitema </t>
  </si>
  <si>
    <t xml:space="preserve">Archivo digital del sonido o video de la sesión, archivo digital del Acta Sucinta de la Sesión y registro digital de las votaciones los cuales se encuentras publicados en la red interna de la Corporación. </t>
  </si>
  <si>
    <t>Página Web del Concejo de Bogotá</t>
  </si>
  <si>
    <t xml:space="preserve">Se realizo la audienecia publica el 31 de julio en el auditorio de Compensar , con participacion ciudadana, grupos de interes y entidades distritales.
Esta programada para el mes de diciembre la 2da audiencia de rendicion publica de Cuentas por parte del Concejo de la Ciudad, en cuanto se organice este 2do esacio,  la OAC divulgara la informacion disponible
Se llevo a cabo el Cabildo Abierto el 30 de Agosto  sobre el POT, es un espacio promovido por el Concejo de Bogota para la particiopacion ciudadana Se realizo un conteo de 510 turnos para intervencion de los ciudadanos. </t>
  </si>
  <si>
    <t>En primer lugar, el día 12 de septiembre del presente año, se llevará a cabo la socialización del Código y la política de Integridad. Posteriormente en conjunto con la Oficina Asesora de Planeación se elaborará El Plan de Integridad.</t>
  </si>
  <si>
    <t xml:space="preserve">Documentos del Código, la Politica y registros fotograficos de la socialización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</si>
</sst>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quot;$&quot;\ #,##0;[Red]\-&quot;$&quot;\ #,##0"/>
    <numFmt numFmtId="165" formatCode="dd/mmm/yyyy"/>
    <numFmt numFmtId="166" formatCode="0.0"/>
  </numFmts>
  <fonts count="53" x14ac:knownFonts="1">
    <font>
      <sz val="11"/>
      <color theme="1"/>
      <name val="Calibri"/>
      <family val="2"/>
      <scheme val="minor"/>
    </font>
    <font>
      <sz val="11"/>
      <color indexed="8"/>
      <name val="Calibri"/>
      <family val="2"/>
    </font>
    <font>
      <b/>
      <sz val="12"/>
      <name val="Arial"/>
      <family val="2"/>
    </font>
    <font>
      <b/>
      <sz val="10"/>
      <name val="Arial"/>
      <family val="2"/>
    </font>
    <font>
      <sz val="10"/>
      <name val="Arial"/>
      <family val="2"/>
    </font>
    <font>
      <b/>
      <sz val="8"/>
      <name val="Arial"/>
      <family val="2"/>
    </font>
    <font>
      <sz val="8"/>
      <name val="Arial"/>
      <family val="2"/>
    </font>
    <font>
      <b/>
      <sz val="9"/>
      <name val="Arial"/>
      <family val="2"/>
    </font>
    <font>
      <b/>
      <u/>
      <sz val="8"/>
      <name val="Arial"/>
      <family val="2"/>
    </font>
    <font>
      <sz val="8"/>
      <color indexed="8"/>
      <name val="Arial"/>
      <family val="2"/>
    </font>
    <font>
      <sz val="9"/>
      <name val="Arial"/>
      <family val="2"/>
    </font>
    <font>
      <sz val="8"/>
      <color rgb="FFFF0000"/>
      <name val="Arial"/>
      <family val="2"/>
    </font>
    <font>
      <sz val="8"/>
      <color theme="1"/>
      <name val="Arial"/>
      <family val="2"/>
    </font>
    <font>
      <sz val="9"/>
      <color indexed="81"/>
      <name val="Tahoma"/>
      <family val="2"/>
    </font>
    <font>
      <b/>
      <sz val="9"/>
      <color indexed="81"/>
      <name val="Tahoma"/>
      <family val="2"/>
    </font>
    <font>
      <sz val="11"/>
      <name val="Calibri"/>
      <family val="2"/>
      <scheme val="minor"/>
    </font>
    <font>
      <strike/>
      <sz val="10"/>
      <name val="Arial"/>
      <family val="2"/>
    </font>
    <font>
      <strike/>
      <sz val="11"/>
      <color theme="1"/>
      <name val="Calibri"/>
      <family val="2"/>
      <scheme val="minor"/>
    </font>
    <font>
      <b/>
      <sz val="12"/>
      <name val="Arial Narrow"/>
      <family val="2"/>
    </font>
    <font>
      <sz val="8"/>
      <color rgb="FF000000"/>
      <name val="Arial"/>
      <family val="2"/>
    </font>
    <font>
      <sz val="10"/>
      <color theme="1"/>
      <name val="Arial"/>
      <family val="2"/>
    </font>
    <font>
      <sz val="10"/>
      <color theme="1"/>
      <name val="Calibri"/>
      <family val="2"/>
      <scheme val="minor"/>
    </font>
    <font>
      <sz val="14"/>
      <color theme="1"/>
      <name val="Arial Narrow"/>
      <family val="2"/>
    </font>
    <font>
      <sz val="8"/>
      <name val="Arial Narrow"/>
      <family val="2"/>
    </font>
    <font>
      <sz val="14"/>
      <name val="Arial Narrow"/>
      <family val="2"/>
    </font>
    <font>
      <b/>
      <sz val="12"/>
      <color theme="1"/>
      <name val="Arial Narrow"/>
      <family val="2"/>
    </font>
    <font>
      <sz val="11"/>
      <color theme="1"/>
      <name val="Arial Narrow"/>
      <family val="2"/>
    </font>
    <font>
      <b/>
      <sz val="12"/>
      <color theme="0"/>
      <name val="Arial Narrow"/>
      <family val="2"/>
    </font>
    <font>
      <b/>
      <sz val="14"/>
      <color theme="1"/>
      <name val="Arial Narrow"/>
      <family val="2"/>
    </font>
    <font>
      <sz val="14"/>
      <color rgb="FFFFC000"/>
      <name val="Arial Narrow"/>
      <family val="2"/>
    </font>
    <font>
      <b/>
      <sz val="14"/>
      <name val="Arial Narrow"/>
      <family val="2"/>
    </font>
    <font>
      <sz val="11"/>
      <color theme="1"/>
      <name val="Calibri"/>
      <family val="2"/>
      <scheme val="minor"/>
    </font>
    <font>
      <b/>
      <sz val="10"/>
      <color theme="0"/>
      <name val="Arial Narrow"/>
      <family val="2"/>
    </font>
    <font>
      <sz val="10"/>
      <color theme="1"/>
      <name val="Arial Narrow"/>
      <family val="2"/>
    </font>
    <font>
      <sz val="11"/>
      <color theme="1"/>
      <name val="Arial"/>
      <family val="2"/>
    </font>
    <font>
      <b/>
      <sz val="11"/>
      <color theme="1"/>
      <name val="Arial"/>
      <family val="2"/>
    </font>
    <font>
      <sz val="11"/>
      <color rgb="FF000000"/>
      <name val="Arial"/>
      <family val="2"/>
    </font>
    <font>
      <b/>
      <sz val="11"/>
      <color rgb="FF000000"/>
      <name val="Arial"/>
      <family val="2"/>
    </font>
    <font>
      <b/>
      <sz val="9"/>
      <color rgb="FF000000"/>
      <name val="Tahoma"/>
      <family val="2"/>
    </font>
    <font>
      <sz val="9"/>
      <color rgb="FF000000"/>
      <name val="Tahoma"/>
      <family val="2"/>
    </font>
    <font>
      <b/>
      <sz val="9"/>
      <color rgb="FF000000"/>
      <name val="Arial"/>
      <family val="2"/>
    </font>
    <font>
      <b/>
      <sz val="8"/>
      <color rgb="FF000000"/>
      <name val="Arial"/>
      <family val="2"/>
    </font>
    <font>
      <sz val="9"/>
      <color theme="1"/>
      <name val="Calibri"/>
      <family val="2"/>
      <scheme val="minor"/>
    </font>
    <font>
      <b/>
      <sz val="6"/>
      <color rgb="FF000000"/>
      <name val="Arial"/>
      <family val="2"/>
    </font>
    <font>
      <sz val="9"/>
      <color theme="1"/>
      <name val="Arial Narrow"/>
      <family val="2"/>
    </font>
    <font>
      <sz val="9"/>
      <name val="Arial Narrow"/>
      <family val="2"/>
    </font>
    <font>
      <b/>
      <sz val="9"/>
      <color theme="1"/>
      <name val="Arial Narrow"/>
      <family val="2"/>
    </font>
    <font>
      <b/>
      <sz val="11"/>
      <color theme="1"/>
      <name val="Calibri"/>
      <family val="2"/>
      <scheme val="minor"/>
    </font>
    <font>
      <u/>
      <sz val="11"/>
      <color theme="10"/>
      <name val="Calibri"/>
      <family val="2"/>
      <scheme val="minor"/>
    </font>
    <font>
      <sz val="11"/>
      <color rgb="FFFF0000"/>
      <name val="Arial"/>
      <family val="2"/>
    </font>
    <font>
      <sz val="11"/>
      <name val="Arial"/>
      <family val="2"/>
    </font>
    <font>
      <sz val="12"/>
      <color theme="1"/>
      <name val="Arial"/>
      <family val="2"/>
    </font>
    <font>
      <sz val="12"/>
      <name val="Arial"/>
      <family val="2"/>
    </font>
  </fonts>
  <fills count="2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4"/>
        <bgColor rgb="FF000000"/>
      </patternFill>
    </fill>
    <fill>
      <patternFill patternType="solid">
        <fgColor rgb="FFFFFFFF"/>
        <bgColor rgb="FF000000"/>
      </patternFill>
    </fill>
    <fill>
      <patternFill patternType="solid">
        <fgColor theme="6" tint="0.79998168889431442"/>
        <bgColor indexed="64"/>
      </patternFill>
    </fill>
    <fill>
      <patternFill patternType="solid">
        <fgColor rgb="FFFFFFFF"/>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CCC0DA"/>
        <bgColor rgb="FF000000"/>
      </patternFill>
    </fill>
    <fill>
      <patternFill patternType="solid">
        <fgColor rgb="FF95B3D7"/>
        <bgColor rgb="FF000000"/>
      </patternFill>
    </fill>
    <fill>
      <patternFill patternType="solid">
        <fgColor rgb="FFC4D79B"/>
        <bgColor rgb="FF000000"/>
      </patternFill>
    </fill>
    <fill>
      <patternFill patternType="solid">
        <fgColor rgb="FF8DB4E2"/>
        <bgColor rgb="FF000000"/>
      </patternFill>
    </fill>
    <fill>
      <patternFill patternType="solid">
        <fgColor rgb="FFBFBFBF"/>
        <bgColor rgb="FF000000"/>
      </patternFill>
    </fill>
    <fill>
      <patternFill patternType="solid">
        <fgColor rgb="FFDCE6F1"/>
        <bgColor rgb="FF000000"/>
      </patternFill>
    </fill>
    <fill>
      <patternFill patternType="solid">
        <fgColor rgb="FFF2F2F2"/>
        <bgColor rgb="FF000000"/>
      </patternFill>
    </fill>
    <fill>
      <patternFill patternType="solid">
        <fgColor rgb="FFDDD9C4"/>
        <bgColor rgb="FF000000"/>
      </patternFill>
    </fill>
    <fill>
      <patternFill patternType="solid">
        <fgColor theme="5" tint="0.59999389629810485"/>
        <bgColor rgb="FF000000"/>
      </patternFill>
    </fill>
  </fills>
  <borders count="4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rgb="FF000000"/>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6">
    <xf numFmtId="0" fontId="0" fillId="0" borderId="0"/>
    <xf numFmtId="0" fontId="1" fillId="0" borderId="0"/>
    <xf numFmtId="9" fontId="31" fillId="0" borderId="0" applyFont="0" applyFill="0" applyBorder="0" applyAlignment="0" applyProtection="0"/>
    <xf numFmtId="43" fontId="31" fillId="0" borderId="0" applyFont="0" applyFill="0" applyBorder="0" applyAlignment="0" applyProtection="0"/>
    <xf numFmtId="0" fontId="48" fillId="0" borderId="0" applyNumberFormat="0" applyFill="0" applyBorder="0" applyAlignment="0" applyProtection="0"/>
    <xf numFmtId="43" fontId="31" fillId="0" borderId="0" applyFont="0" applyFill="0" applyBorder="0" applyAlignment="0" applyProtection="0"/>
  </cellStyleXfs>
  <cellXfs count="670">
    <xf numFmtId="0" fontId="0" fillId="0" borderId="0" xfId="0"/>
    <xf numFmtId="0" fontId="4" fillId="2" borderId="0" xfId="0" applyFont="1" applyFill="1"/>
    <xf numFmtId="0" fontId="4" fillId="0" borderId="5" xfId="0" quotePrefix="1" applyFont="1" applyFill="1" applyBorder="1" applyAlignment="1">
      <alignment horizontal="justify" vertical="center" wrapText="1"/>
    </xf>
    <xf numFmtId="0" fontId="0" fillId="0" borderId="0" xfId="0" applyFill="1"/>
    <xf numFmtId="0" fontId="0" fillId="0" borderId="0" xfId="0" applyFill="1" applyAlignment="1">
      <alignment horizontal="center"/>
    </xf>
    <xf numFmtId="0" fontId="3" fillId="0" borderId="5" xfId="0" quotePrefix="1" applyFont="1" applyBorder="1" applyAlignment="1">
      <alignment horizontal="center" vertical="center" wrapText="1"/>
    </xf>
    <xf numFmtId="0" fontId="5" fillId="0" borderId="5" xfId="0" applyFont="1" applyBorder="1" applyAlignment="1">
      <alignment horizontal="center" vertical="center"/>
    </xf>
    <xf numFmtId="0" fontId="0" fillId="0" borderId="5" xfId="0" applyFill="1" applyBorder="1" applyAlignment="1">
      <alignment horizontal="center" vertical="center"/>
    </xf>
    <xf numFmtId="0" fontId="4" fillId="0" borderId="5" xfId="0" applyFont="1" applyFill="1" applyBorder="1" applyAlignment="1">
      <alignment horizontal="justify" vertical="center" wrapText="1"/>
    </xf>
    <xf numFmtId="165" fontId="0" fillId="0" borderId="5" xfId="0" applyNumberFormat="1" applyFill="1" applyBorder="1" applyAlignment="1" applyProtection="1">
      <alignment horizontal="center" vertical="center"/>
      <protection locked="0"/>
    </xf>
    <xf numFmtId="10" fontId="3" fillId="0" borderId="5" xfId="0" quotePrefix="1" applyNumberFormat="1"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quotePrefix="1" applyFont="1" applyFill="1" applyBorder="1" applyAlignment="1">
      <alignment horizontal="justify" vertical="center"/>
    </xf>
    <xf numFmtId="0" fontId="4" fillId="0" borderId="0" xfId="0" applyFont="1"/>
    <xf numFmtId="0" fontId="4" fillId="0" borderId="5" xfId="0" applyFont="1" applyFill="1" applyBorder="1" applyAlignment="1">
      <alignment horizontal="justify" vertical="center"/>
    </xf>
    <xf numFmtId="0" fontId="6" fillId="0" borderId="0" xfId="0" applyFont="1" applyFill="1"/>
    <xf numFmtId="0" fontId="8" fillId="0" borderId="0" xfId="0" applyFont="1" applyFill="1"/>
    <xf numFmtId="10" fontId="3" fillId="0" borderId="5" xfId="0" applyNumberFormat="1" applyFont="1" applyFill="1" applyBorder="1" applyAlignment="1">
      <alignment horizontal="center" vertical="center"/>
    </xf>
    <xf numFmtId="0" fontId="6" fillId="2" borderId="0" xfId="0" applyFont="1" applyFill="1"/>
    <xf numFmtId="0" fontId="6" fillId="2" borderId="5" xfId="0" applyFont="1" applyFill="1" applyBorder="1"/>
    <xf numFmtId="0" fontId="6" fillId="2" borderId="5" xfId="0" applyFont="1" applyFill="1" applyBorder="1" applyAlignment="1">
      <alignment horizontal="center"/>
    </xf>
    <xf numFmtId="0" fontId="5" fillId="4" borderId="5" xfId="0" applyFont="1" applyFill="1" applyBorder="1" applyAlignment="1">
      <alignment horizontal="center"/>
    </xf>
    <xf numFmtId="0" fontId="6" fillId="0" borderId="0" xfId="0" applyFont="1" applyFill="1" applyAlignment="1">
      <alignment horizontal="center"/>
    </xf>
    <xf numFmtId="0" fontId="6" fillId="2" borderId="0" xfId="0" quotePrefix="1" applyFont="1" applyFill="1" applyAlignment="1">
      <alignment horizontal="left"/>
    </xf>
    <xf numFmtId="0" fontId="5" fillId="5" borderId="5" xfId="0" applyFont="1" applyFill="1" applyBorder="1" applyAlignment="1">
      <alignment horizontal="center"/>
    </xf>
    <xf numFmtId="0" fontId="5" fillId="6" borderId="5" xfId="0" applyFont="1" applyFill="1" applyBorder="1" applyAlignment="1">
      <alignment horizontal="center"/>
    </xf>
    <xf numFmtId="0" fontId="6" fillId="0" borderId="0" xfId="0" applyFont="1"/>
    <xf numFmtId="0" fontId="0" fillId="0" borderId="0" xfId="0" applyAlignment="1">
      <alignment horizontal="center"/>
    </xf>
    <xf numFmtId="0" fontId="6" fillId="0" borderId="0" xfId="0" applyFont="1" applyAlignment="1">
      <alignment horizontal="center"/>
    </xf>
    <xf numFmtId="0" fontId="7" fillId="0" borderId="5" xfId="0" applyFont="1" applyBorder="1" applyAlignment="1">
      <alignment horizontal="center" vertical="center"/>
    </xf>
    <xf numFmtId="0" fontId="7" fillId="0" borderId="5" xfId="0" quotePrefix="1" applyFont="1" applyBorder="1" applyAlignment="1">
      <alignment horizontal="center" vertical="center"/>
    </xf>
    <xf numFmtId="0" fontId="5" fillId="5" borderId="5" xfId="0" quotePrefix="1" applyFont="1" applyFill="1" applyBorder="1" applyAlignment="1">
      <alignment horizontal="center" vertical="center"/>
    </xf>
    <xf numFmtId="0" fontId="5" fillId="5" borderId="5" xfId="0" quotePrefix="1" applyFont="1" applyFill="1" applyBorder="1" applyAlignment="1">
      <alignment horizontal="center" wrapText="1" shrinkToFit="1"/>
    </xf>
    <xf numFmtId="0" fontId="6" fillId="5" borderId="1" xfId="0" quotePrefix="1" applyFont="1" applyFill="1" applyBorder="1" applyAlignment="1" applyProtection="1">
      <alignment horizontal="justify" vertical="center" wrapText="1"/>
      <protection locked="0"/>
    </xf>
    <xf numFmtId="0" fontId="6" fillId="0" borderId="5" xfId="0" quotePrefix="1" applyFont="1" applyFill="1" applyBorder="1" applyAlignment="1" applyProtection="1">
      <alignment horizontal="justify" vertical="center" wrapText="1" shrinkToFit="1"/>
      <protection locked="0"/>
    </xf>
    <xf numFmtId="0" fontId="6" fillId="0" borderId="5" xfId="0" applyFont="1" applyBorder="1" applyAlignment="1" applyProtection="1">
      <alignment horizontal="center" vertical="center"/>
    </xf>
    <xf numFmtId="0" fontId="6" fillId="0" borderId="8" xfId="0" quotePrefix="1" applyFont="1" applyFill="1" applyBorder="1" applyAlignment="1" applyProtection="1">
      <alignment horizontal="justify" vertical="center" wrapText="1" shrinkToFit="1"/>
      <protection locked="0"/>
    </xf>
    <xf numFmtId="0" fontId="6" fillId="0" borderId="8" xfId="0" quotePrefix="1" applyFont="1" applyFill="1" applyBorder="1" applyAlignment="1" applyProtection="1">
      <alignment horizontal="center" vertical="center" wrapText="1" shrinkToFit="1"/>
      <protection locked="0"/>
    </xf>
    <xf numFmtId="0" fontId="6" fillId="0" borderId="8" xfId="0" quotePrefix="1" applyFont="1" applyFill="1" applyBorder="1" applyAlignment="1" applyProtection="1">
      <alignment horizontal="center" vertical="center" wrapText="1" shrinkToFit="1"/>
    </xf>
    <xf numFmtId="0" fontId="5" fillId="0" borderId="8" xfId="0" quotePrefix="1" applyFont="1" applyFill="1" applyBorder="1" applyAlignment="1" applyProtection="1">
      <alignment horizontal="center" vertical="center" wrapText="1" shrinkToFit="1"/>
    </xf>
    <xf numFmtId="0" fontId="6" fillId="0" borderId="5" xfId="0" quotePrefix="1" applyFont="1" applyBorder="1" applyAlignment="1" applyProtection="1">
      <alignment horizontal="justify" vertical="center" wrapText="1"/>
      <protection locked="0"/>
    </xf>
    <xf numFmtId="0" fontId="6" fillId="0" borderId="8" xfId="0" quotePrefix="1" applyFont="1" applyBorder="1" applyAlignment="1">
      <alignment horizontal="justify" vertical="center" wrapText="1"/>
    </xf>
    <xf numFmtId="0" fontId="6" fillId="0" borderId="8" xfId="0" quotePrefix="1" applyFont="1" applyBorder="1" applyAlignment="1" applyProtection="1">
      <alignment horizontal="center" vertical="center" wrapText="1"/>
    </xf>
    <xf numFmtId="0" fontId="5" fillId="0" borderId="8" xfId="0" quotePrefix="1" applyFont="1" applyFill="1" applyBorder="1" applyAlignment="1">
      <alignment horizontal="center" vertical="center" wrapText="1" shrinkToFit="1"/>
    </xf>
    <xf numFmtId="0" fontId="6" fillId="0" borderId="8" xfId="0" quotePrefix="1" applyFont="1" applyBorder="1" applyAlignment="1" applyProtection="1">
      <alignment horizontal="justify" vertical="center" wrapText="1"/>
      <protection locked="0"/>
    </xf>
    <xf numFmtId="165" fontId="6" fillId="0" borderId="5" xfId="0" quotePrefix="1" applyNumberFormat="1" applyFont="1" applyBorder="1" applyAlignment="1" applyProtection="1">
      <alignment horizontal="center" vertical="center" wrapText="1"/>
      <protection locked="0"/>
    </xf>
    <xf numFmtId="0" fontId="6" fillId="0" borderId="8" xfId="0" quotePrefix="1" applyFont="1" applyBorder="1" applyAlignment="1">
      <alignment horizontal="justify" vertical="center"/>
    </xf>
    <xf numFmtId="0" fontId="6" fillId="0" borderId="8" xfId="0" quotePrefix="1" applyFont="1" applyBorder="1" applyAlignment="1">
      <alignment horizontal="center" vertical="center" wrapText="1" shrinkToFit="1"/>
    </xf>
    <xf numFmtId="9" fontId="6" fillId="0" borderId="5" xfId="0" quotePrefix="1" applyNumberFormat="1" applyFont="1" applyBorder="1" applyAlignment="1">
      <alignment horizontal="center" vertical="center" wrapText="1" shrinkToFit="1"/>
    </xf>
    <xf numFmtId="0" fontId="6" fillId="5" borderId="12" xfId="0" quotePrefix="1" applyFont="1" applyFill="1" applyBorder="1" applyAlignment="1" applyProtection="1">
      <alignment vertical="center" wrapText="1"/>
      <protection locked="0"/>
    </xf>
    <xf numFmtId="0" fontId="6" fillId="0" borderId="8" xfId="0" quotePrefix="1" applyFont="1" applyFill="1" applyBorder="1" applyAlignment="1" applyProtection="1">
      <alignment horizontal="justify" vertical="center" wrapText="1"/>
      <protection locked="0"/>
    </xf>
    <xf numFmtId="0" fontId="6" fillId="0" borderId="8" xfId="0" quotePrefix="1" applyFont="1" applyFill="1" applyBorder="1" applyAlignment="1" applyProtection="1">
      <alignment horizontal="center" vertical="center" wrapText="1"/>
      <protection locked="0"/>
    </xf>
    <xf numFmtId="0" fontId="6" fillId="5" borderId="8" xfId="0" quotePrefix="1" applyFont="1" applyFill="1" applyBorder="1" applyAlignment="1" applyProtection="1">
      <alignment vertical="center" wrapText="1"/>
      <protection locked="0"/>
    </xf>
    <xf numFmtId="0" fontId="6" fillId="0" borderId="5" xfId="0" quotePrefix="1" applyFont="1" applyBorder="1" applyAlignment="1" applyProtection="1">
      <alignment horizontal="center" vertical="center" wrapText="1"/>
      <protection locked="0"/>
    </xf>
    <xf numFmtId="0" fontId="6" fillId="5" borderId="5" xfId="0" quotePrefix="1" applyFont="1" applyFill="1" applyBorder="1" applyAlignment="1" applyProtection="1">
      <alignment horizontal="justify" vertical="center" wrapText="1"/>
      <protection locked="0"/>
    </xf>
    <xf numFmtId="0" fontId="6" fillId="0" borderId="5" xfId="0" applyFont="1" applyBorder="1" applyAlignment="1" applyProtection="1">
      <alignment horizontal="justify" vertical="center" wrapText="1" shrinkToFit="1"/>
      <protection locked="0"/>
    </xf>
    <xf numFmtId="0" fontId="6" fillId="0" borderId="5" xfId="0" quotePrefix="1" applyFont="1" applyBorder="1" applyAlignment="1" applyProtection="1">
      <alignment horizontal="justify" vertical="center" wrapText="1" shrinkToFit="1"/>
      <protection locked="0"/>
    </xf>
    <xf numFmtId="0" fontId="6" fillId="0" borderId="5" xfId="0" quotePrefix="1" applyFont="1" applyBorder="1" applyAlignment="1" applyProtection="1">
      <alignment horizontal="center" vertical="center" wrapText="1" shrinkToFit="1"/>
      <protection locked="0"/>
    </xf>
    <xf numFmtId="0" fontId="6" fillId="0" borderId="5" xfId="0" applyFont="1" applyBorder="1" applyAlignment="1" applyProtection="1">
      <alignment horizontal="justify" vertical="center" wrapText="1"/>
      <protection locked="0"/>
    </xf>
    <xf numFmtId="4" fontId="6" fillId="0" borderId="8" xfId="0" quotePrefix="1" applyNumberFormat="1" applyFont="1" applyBorder="1" applyAlignment="1" applyProtection="1">
      <alignment horizontal="justify" vertical="center" wrapText="1" shrinkToFit="1"/>
      <protection locked="0"/>
    </xf>
    <xf numFmtId="0" fontId="6" fillId="0" borderId="8" xfId="0" quotePrefix="1" applyFont="1" applyBorder="1" applyAlignment="1" applyProtection="1">
      <alignment horizontal="justify" vertical="center" wrapText="1" shrinkToFit="1"/>
      <protection locked="0"/>
    </xf>
    <xf numFmtId="0" fontId="6" fillId="0" borderId="8" xfId="0" quotePrefix="1" applyFont="1" applyBorder="1" applyAlignment="1" applyProtection="1">
      <alignment horizontal="center" vertical="center" wrapText="1" shrinkToFit="1"/>
      <protection locked="0"/>
    </xf>
    <xf numFmtId="0" fontId="0" fillId="5" borderId="12" xfId="0" applyFill="1" applyBorder="1" applyAlignment="1" applyProtection="1">
      <alignment horizontal="justify" vertical="center" wrapText="1"/>
      <protection locked="0"/>
    </xf>
    <xf numFmtId="0" fontId="6" fillId="0" borderId="8" xfId="0" applyFont="1" applyBorder="1" applyAlignment="1" applyProtection="1">
      <alignment horizontal="justify" vertical="center" wrapText="1" shrinkToFit="1"/>
      <protection locked="0"/>
    </xf>
    <xf numFmtId="0" fontId="6" fillId="0" borderId="8" xfId="0" applyFont="1" applyBorder="1" applyAlignment="1" applyProtection="1">
      <alignment horizontal="center" vertical="center" wrapText="1" shrinkToFit="1"/>
      <protection locked="0"/>
    </xf>
    <xf numFmtId="0" fontId="0" fillId="5" borderId="8" xfId="0" applyFill="1" applyBorder="1" applyAlignment="1" applyProtection="1">
      <alignment horizontal="justify" vertical="center" wrapText="1"/>
      <protection locked="0"/>
    </xf>
    <xf numFmtId="0" fontId="6" fillId="0" borderId="1" xfId="0" quotePrefix="1" applyFont="1" applyFill="1" applyBorder="1" applyAlignment="1" applyProtection="1">
      <alignment horizontal="center" vertical="center" wrapText="1"/>
      <protection locked="0"/>
    </xf>
    <xf numFmtId="0" fontId="6" fillId="0" borderId="1" xfId="0" quotePrefix="1" applyFont="1" applyBorder="1" applyAlignment="1" applyProtection="1">
      <alignment horizontal="center" vertical="center" wrapText="1"/>
      <protection locked="0"/>
    </xf>
    <xf numFmtId="0" fontId="6" fillId="0" borderId="5" xfId="0" applyFont="1" applyFill="1" applyBorder="1" applyAlignment="1" applyProtection="1">
      <alignment horizontal="justify" vertical="center" wrapText="1" shrinkToFit="1"/>
      <protection locked="0"/>
    </xf>
    <xf numFmtId="0" fontId="6" fillId="0" borderId="8" xfId="0" applyFont="1" applyFill="1" applyBorder="1" applyAlignment="1" applyProtection="1">
      <alignment horizontal="justify" vertical="center" wrapText="1" shrinkToFit="1"/>
      <protection locked="0"/>
    </xf>
    <xf numFmtId="0" fontId="6" fillId="0" borderId="8" xfId="0" applyFont="1" applyFill="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5" borderId="1" xfId="0" quotePrefix="1"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center"/>
      <protection locked="0"/>
    </xf>
    <xf numFmtId="0" fontId="6" fillId="2" borderId="5" xfId="0" applyFont="1" applyFill="1" applyBorder="1" applyAlignment="1">
      <alignment horizontal="justify" vertical="center"/>
    </xf>
    <xf numFmtId="0" fontId="6" fillId="2" borderId="5" xfId="0" applyFont="1" applyFill="1" applyBorder="1" applyAlignment="1" applyProtection="1">
      <alignment horizontal="justify" vertical="center"/>
      <protection locked="0"/>
    </xf>
    <xf numFmtId="0" fontId="6" fillId="2" borderId="5" xfId="0" quotePrefix="1" applyFont="1" applyFill="1" applyBorder="1" applyAlignment="1">
      <alignment horizontal="center" vertical="center" wrapText="1"/>
    </xf>
    <xf numFmtId="0" fontId="6" fillId="0" borderId="5" xfId="0" applyFont="1" applyBorder="1" applyAlignment="1" applyProtection="1">
      <alignment horizontal="center" vertical="center"/>
      <protection locked="0"/>
    </xf>
    <xf numFmtId="0" fontId="6" fillId="0" borderId="8" xfId="0" quotePrefix="1" applyFont="1" applyBorder="1" applyAlignment="1" applyProtection="1">
      <alignment horizontal="center" vertical="center" wrapText="1"/>
      <protection locked="0"/>
    </xf>
    <xf numFmtId="0" fontId="6" fillId="0" borderId="5" xfId="0" quotePrefix="1" applyFont="1" applyBorder="1" applyAlignment="1" applyProtection="1">
      <alignment horizontal="justify" vertical="center"/>
      <protection locked="0"/>
    </xf>
    <xf numFmtId="0" fontId="6" fillId="2" borderId="5" xfId="0" applyFont="1" applyFill="1" applyBorder="1" applyAlignment="1" applyProtection="1">
      <alignment horizontal="justify" vertical="center" wrapText="1"/>
      <protection locked="0"/>
    </xf>
    <xf numFmtId="0" fontId="6" fillId="0" borderId="5" xfId="0" quotePrefix="1" applyFont="1" applyBorder="1" applyAlignment="1" applyProtection="1">
      <alignment horizontal="center" vertical="center"/>
      <protection locked="0"/>
    </xf>
    <xf numFmtId="0" fontId="6" fillId="2" borderId="5" xfId="0" quotePrefix="1" applyFont="1" applyFill="1" applyBorder="1" applyAlignment="1" applyProtection="1">
      <alignment horizontal="justify" vertical="center" wrapText="1"/>
      <protection locked="0"/>
    </xf>
    <xf numFmtId="0" fontId="6" fillId="0" borderId="5" xfId="0" applyFont="1" applyBorder="1" applyAlignment="1" applyProtection="1">
      <alignment horizontal="center" vertical="center" wrapText="1"/>
      <protection locked="0"/>
    </xf>
    <xf numFmtId="0" fontId="6" fillId="2" borderId="8" xfId="0" quotePrefix="1" applyFont="1" applyFill="1" applyBorder="1" applyAlignment="1">
      <alignment horizontal="justify" vertical="center"/>
    </xf>
    <xf numFmtId="0" fontId="6" fillId="0" borderId="11" xfId="0" applyFont="1" applyBorder="1" applyAlignment="1" applyProtection="1">
      <alignment horizontal="justify" vertical="center"/>
      <protection locked="0"/>
    </xf>
    <xf numFmtId="0" fontId="5" fillId="0" borderId="8" xfId="0" applyFont="1" applyBorder="1" applyAlignment="1" applyProtection="1">
      <alignment horizontal="center" vertical="center" wrapText="1" shrinkToFit="1"/>
      <protection locked="0"/>
    </xf>
    <xf numFmtId="0" fontId="5" fillId="0" borderId="5" xfId="0" applyFont="1" applyBorder="1" applyAlignment="1" applyProtection="1">
      <alignment horizontal="center" vertical="center" wrapText="1"/>
      <protection locked="0"/>
    </xf>
    <xf numFmtId="0" fontId="6" fillId="0" borderId="5" xfId="0" applyFont="1" applyFill="1" applyBorder="1" applyAlignment="1" applyProtection="1">
      <alignment horizontal="justify" vertical="center"/>
      <protection locked="0"/>
    </xf>
    <xf numFmtId="0" fontId="6" fillId="0" borderId="5" xfId="0" applyFont="1" applyFill="1" applyBorder="1" applyAlignment="1" applyProtection="1">
      <alignment horizontal="justify" vertical="center" wrapText="1"/>
      <protection locked="0"/>
    </xf>
    <xf numFmtId="0" fontId="6" fillId="0" borderId="12" xfId="0" quotePrefix="1" applyFont="1" applyFill="1" applyBorder="1" applyAlignment="1" applyProtection="1">
      <alignment horizontal="center" vertical="center" wrapText="1"/>
      <protection locked="0"/>
    </xf>
    <xf numFmtId="0" fontId="6" fillId="5" borderId="12" xfId="0" applyFont="1" applyFill="1" applyBorder="1" applyAlignment="1" applyProtection="1">
      <alignment horizontal="justify" vertical="center" wrapText="1" shrinkToFit="1"/>
      <protection locked="0"/>
    </xf>
    <xf numFmtId="0" fontId="6" fillId="0" borderId="12" xfId="0" quotePrefix="1" applyFont="1" applyBorder="1" applyAlignment="1" applyProtection="1">
      <alignment horizontal="center" vertical="center" wrapText="1"/>
      <protection locked="0"/>
    </xf>
    <xf numFmtId="0" fontId="11" fillId="0" borderId="5" xfId="0" quotePrefix="1" applyFont="1" applyBorder="1" applyAlignment="1" applyProtection="1">
      <alignment horizontal="justify" vertical="center"/>
      <protection locked="0"/>
    </xf>
    <xf numFmtId="0" fontId="12" fillId="0" borderId="5" xfId="0" applyFont="1" applyBorder="1" applyAlignment="1" applyProtection="1">
      <alignment horizontal="justify" vertical="center" wrapText="1"/>
      <protection locked="0"/>
    </xf>
    <xf numFmtId="0" fontId="6" fillId="2" borderId="11" xfId="0" applyFont="1" applyFill="1" applyBorder="1" applyAlignment="1" applyProtection="1">
      <alignment horizontal="justify" vertical="center" wrapText="1" shrinkToFit="1"/>
      <protection locked="0"/>
    </xf>
    <xf numFmtId="0" fontId="6" fillId="2" borderId="8" xfId="0" quotePrefix="1" applyFont="1" applyFill="1" applyBorder="1" applyAlignment="1" applyProtection="1">
      <alignment horizontal="justify" vertical="center" wrapText="1" shrinkToFit="1"/>
      <protection locked="0"/>
    </xf>
    <xf numFmtId="0" fontId="6" fillId="2" borderId="8" xfId="0" quotePrefix="1" applyFont="1" applyFill="1" applyBorder="1" applyAlignment="1" applyProtection="1">
      <alignment horizontal="center" vertical="center" wrapText="1" shrinkToFit="1"/>
      <protection locked="0"/>
    </xf>
    <xf numFmtId="0" fontId="6" fillId="2" borderId="5" xfId="0" applyFont="1" applyFill="1" applyBorder="1" applyAlignment="1" applyProtection="1">
      <alignment horizontal="justify" vertical="center" wrapText="1" shrinkToFit="1"/>
      <protection locked="0"/>
    </xf>
    <xf numFmtId="0" fontId="12" fillId="2" borderId="11" xfId="0" applyFont="1" applyFill="1" applyBorder="1" applyAlignment="1" applyProtection="1">
      <alignment horizontal="justify" vertical="center" wrapText="1" shrinkToFit="1"/>
      <protection locked="0"/>
    </xf>
    <xf numFmtId="0" fontId="12" fillId="2" borderId="8" xfId="0" quotePrefix="1" applyFont="1" applyFill="1" applyBorder="1" applyAlignment="1" applyProtection="1">
      <alignment horizontal="justify" vertical="center" wrapText="1" shrinkToFit="1"/>
      <protection locked="0"/>
    </xf>
    <xf numFmtId="0" fontId="6" fillId="2" borderId="5" xfId="0" quotePrefix="1" applyFont="1" applyFill="1" applyBorder="1" applyAlignment="1" applyProtection="1">
      <alignment horizontal="justify" vertical="center" wrapText="1" shrinkToFit="1"/>
      <protection locked="0"/>
    </xf>
    <xf numFmtId="0" fontId="6" fillId="0" borderId="5" xfId="0" applyFont="1" applyBorder="1" applyAlignment="1">
      <alignment horizontal="justify" vertical="center"/>
    </xf>
    <xf numFmtId="0" fontId="6" fillId="0" borderId="5" xfId="0" applyFont="1" applyBorder="1" applyAlignment="1">
      <alignment horizontal="center" vertical="center" wrapText="1" shrinkToFit="1"/>
    </xf>
    <xf numFmtId="0" fontId="6" fillId="0" borderId="5" xfId="0" applyFont="1" applyFill="1" applyBorder="1" applyAlignment="1" applyProtection="1">
      <alignment horizontal="center" vertical="center"/>
      <protection locked="0"/>
    </xf>
    <xf numFmtId="0" fontId="6" fillId="0" borderId="5" xfId="0" applyFont="1" applyBorder="1" applyAlignment="1">
      <alignment horizontal="justify" vertical="center" wrapText="1"/>
    </xf>
    <xf numFmtId="0" fontId="5" fillId="0" borderId="5" xfId="0" applyFont="1" applyBorder="1" applyAlignment="1">
      <alignment horizontal="center"/>
    </xf>
    <xf numFmtId="0" fontId="5" fillId="0" borderId="0" xfId="0" applyFont="1" applyBorder="1" applyAlignment="1">
      <alignment horizontal="center"/>
    </xf>
    <xf numFmtId="0" fontId="5" fillId="0" borderId="5" xfId="0" quotePrefix="1" applyFont="1" applyFill="1" applyBorder="1" applyAlignment="1" applyProtection="1">
      <alignment horizontal="center" vertical="center" wrapText="1" shrinkToFit="1"/>
    </xf>
    <xf numFmtId="0" fontId="7" fillId="0" borderId="0" xfId="0" applyFont="1" applyBorder="1" applyAlignment="1"/>
    <xf numFmtId="0" fontId="5" fillId="0" borderId="5" xfId="0" quotePrefix="1" applyFont="1" applyFill="1" applyBorder="1" applyAlignment="1">
      <alignment horizontal="center" vertical="center" wrapText="1" shrinkToFit="1"/>
    </xf>
    <xf numFmtId="0" fontId="6" fillId="0" borderId="0" xfId="0" applyFont="1" applyAlignment="1">
      <alignment horizontal="right"/>
    </xf>
    <xf numFmtId="0" fontId="6" fillId="0" borderId="0" xfId="0" applyFont="1" applyAlignment="1">
      <alignment horizontal="center" vertical="center"/>
    </xf>
    <xf numFmtId="0" fontId="6" fillId="0" borderId="0" xfId="0" quotePrefix="1" applyFont="1" applyAlignment="1">
      <alignment horizontal="left"/>
    </xf>
    <xf numFmtId="0" fontId="4" fillId="0" borderId="5" xfId="0" quotePrefix="1" applyFont="1" applyFill="1" applyBorder="1" applyAlignment="1">
      <alignment horizontal="center" vertical="center" wrapText="1"/>
    </xf>
    <xf numFmtId="0" fontId="4" fillId="0" borderId="5" xfId="0" applyFont="1" applyBorder="1" applyAlignment="1">
      <alignment horizontal="justify" vertical="center"/>
    </xf>
    <xf numFmtId="0" fontId="4" fillId="0" borderId="11" xfId="0" applyFont="1" applyBorder="1" applyAlignment="1">
      <alignment horizontal="center" vertical="center" wrapText="1"/>
    </xf>
    <xf numFmtId="165" fontId="15" fillId="0" borderId="5" xfId="0" applyNumberFormat="1" applyFont="1" applyFill="1" applyBorder="1" applyAlignment="1" applyProtection="1">
      <alignment horizontal="center" vertical="center"/>
      <protection locked="0"/>
    </xf>
    <xf numFmtId="3" fontId="7" fillId="0" borderId="11" xfId="0" applyNumberFormat="1" applyFont="1" applyFill="1" applyBorder="1" applyAlignment="1">
      <alignment vertical="center"/>
    </xf>
    <xf numFmtId="0" fontId="4" fillId="7" borderId="5" xfId="1" applyFont="1" applyFill="1" applyBorder="1" applyAlignment="1" applyProtection="1">
      <alignment horizontal="center" vertical="center" wrapText="1"/>
    </xf>
    <xf numFmtId="0" fontId="0" fillId="0" borderId="5" xfId="0" applyBorder="1"/>
    <xf numFmtId="164" fontId="0" fillId="0" borderId="5" xfId="0" applyNumberFormat="1" applyBorder="1"/>
    <xf numFmtId="0" fontId="0" fillId="0" borderId="5" xfId="0" applyBorder="1" applyAlignment="1">
      <alignment wrapText="1"/>
    </xf>
    <xf numFmtId="9" fontId="0" fillId="0" borderId="5" xfId="0" applyNumberFormat="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center" vertical="center"/>
    </xf>
    <xf numFmtId="9" fontId="0" fillId="0" borderId="5" xfId="0" applyNumberFormat="1" applyBorder="1" applyAlignment="1">
      <alignment horizontal="center" vertical="center"/>
    </xf>
    <xf numFmtId="164" fontId="0" fillId="0" borderId="5" xfId="0" applyNumberFormat="1" applyBorder="1" applyAlignment="1">
      <alignment wrapText="1"/>
    </xf>
    <xf numFmtId="0" fontId="6" fillId="0" borderId="5" xfId="0" applyFont="1" applyBorder="1" applyAlignment="1">
      <alignment horizontal="center" vertical="center" wrapText="1"/>
    </xf>
    <xf numFmtId="9" fontId="6" fillId="0" borderId="0" xfId="0" applyNumberFormat="1" applyFont="1"/>
    <xf numFmtId="0" fontId="19" fillId="0" borderId="5" xfId="0" applyFont="1" applyBorder="1" applyAlignment="1">
      <alignment wrapText="1"/>
    </xf>
    <xf numFmtId="0" fontId="19" fillId="0" borderId="12" xfId="0" applyFont="1" applyBorder="1" applyAlignment="1">
      <alignment wrapText="1"/>
    </xf>
    <xf numFmtId="0" fontId="19" fillId="0" borderId="8" xfId="0" applyFont="1" applyBorder="1" applyAlignment="1">
      <alignment wrapText="1"/>
    </xf>
    <xf numFmtId="0" fontId="4" fillId="0" borderId="11" xfId="0" quotePrefix="1" applyFont="1" applyFill="1" applyBorder="1" applyAlignment="1">
      <alignment horizontal="center" vertical="center" wrapText="1"/>
    </xf>
    <xf numFmtId="0" fontId="3" fillId="0" borderId="5" xfId="0" applyFont="1" applyBorder="1" applyAlignment="1">
      <alignment horizontal="center" vertical="center"/>
    </xf>
    <xf numFmtId="0" fontId="7" fillId="0" borderId="5" xfId="0" applyFont="1" applyBorder="1" applyAlignment="1">
      <alignment horizontal="center" vertical="center" wrapText="1"/>
    </xf>
    <xf numFmtId="0" fontId="20" fillId="0" borderId="8" xfId="0" applyFont="1" applyFill="1" applyBorder="1" applyAlignment="1">
      <alignment horizontal="justify" vertical="center"/>
    </xf>
    <xf numFmtId="0" fontId="20" fillId="0" borderId="5" xfId="0" applyFont="1" applyFill="1" applyBorder="1" applyAlignment="1">
      <alignment horizontal="justify" vertical="center"/>
    </xf>
    <xf numFmtId="0" fontId="21" fillId="0" borderId="5" xfId="0" applyFont="1" applyBorder="1" applyAlignment="1">
      <alignment horizontal="center" vertical="center" wrapText="1"/>
    </xf>
    <xf numFmtId="0" fontId="0" fillId="0" borderId="0" xfId="0" applyAlignment="1">
      <alignment horizontal="center" vertical="center"/>
    </xf>
    <xf numFmtId="1" fontId="22" fillId="2" borderId="28" xfId="0" applyNumberFormat="1" applyFont="1" applyFill="1" applyBorder="1" applyAlignment="1" applyProtection="1">
      <alignment horizontal="center" vertical="center" wrapText="1"/>
    </xf>
    <xf numFmtId="0" fontId="23" fillId="0" borderId="5" xfId="1" applyFont="1" applyFill="1" applyBorder="1" applyProtection="1">
      <protection hidden="1"/>
    </xf>
    <xf numFmtId="0" fontId="23" fillId="0" borderId="29" xfId="1" applyFont="1" applyFill="1" applyBorder="1" applyProtection="1">
      <protection hidden="1"/>
    </xf>
    <xf numFmtId="0" fontId="23" fillId="0" borderId="11" xfId="1" applyFont="1" applyFill="1" applyBorder="1" applyProtection="1">
      <protection hidden="1"/>
    </xf>
    <xf numFmtId="166" fontId="22" fillId="2" borderId="28" xfId="0" applyNumberFormat="1" applyFont="1" applyFill="1" applyBorder="1" applyAlignment="1" applyProtection="1">
      <alignment horizontal="center" vertical="center" wrapText="1"/>
    </xf>
    <xf numFmtId="0" fontId="24" fillId="2" borderId="28" xfId="1" applyFont="1" applyFill="1" applyBorder="1" applyAlignment="1" applyProtection="1">
      <alignment horizontal="center" vertical="center" wrapText="1"/>
      <protection hidden="1"/>
    </xf>
    <xf numFmtId="0" fontId="26" fillId="0" borderId="0" xfId="0" applyFont="1"/>
    <xf numFmtId="0" fontId="26" fillId="11" borderId="0" xfId="0" applyFont="1" applyFill="1" applyBorder="1"/>
    <xf numFmtId="0" fontId="22" fillId="13" borderId="5" xfId="0" applyFont="1" applyFill="1" applyBorder="1" applyAlignment="1">
      <alignment vertical="center" wrapText="1"/>
    </xf>
    <xf numFmtId="0" fontId="22" fillId="13" borderId="9" xfId="0" applyFont="1" applyFill="1" applyBorder="1" applyAlignment="1">
      <alignment vertical="center" wrapText="1"/>
    </xf>
    <xf numFmtId="14" fontId="22" fillId="0" borderId="9" xfId="0" applyNumberFormat="1" applyFont="1" applyFill="1" applyBorder="1" applyAlignment="1">
      <alignment horizontal="center" vertical="center"/>
    </xf>
    <xf numFmtId="0" fontId="28" fillId="2" borderId="5" xfId="0" applyFont="1" applyFill="1" applyBorder="1" applyAlignment="1">
      <alignment horizontal="center" vertical="center" wrapText="1"/>
    </xf>
    <xf numFmtId="0" fontId="24" fillId="13" borderId="5"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4" fillId="13" borderId="9" xfId="0" applyFont="1" applyFill="1" applyBorder="1" applyAlignment="1">
      <alignment vertical="center" wrapText="1"/>
    </xf>
    <xf numFmtId="14" fontId="24" fillId="0" borderId="9" xfId="0" applyNumberFormat="1" applyFont="1" applyFill="1" applyBorder="1" applyAlignment="1">
      <alignment horizontal="center" vertical="center" wrapText="1"/>
    </xf>
    <xf numFmtId="0" fontId="26" fillId="11" borderId="28" xfId="0" applyFont="1" applyFill="1" applyBorder="1"/>
    <xf numFmtId="0" fontId="26" fillId="11" borderId="5" xfId="0" applyFont="1" applyFill="1" applyBorder="1"/>
    <xf numFmtId="0" fontId="26" fillId="11" borderId="29" xfId="0" applyFont="1" applyFill="1" applyBorder="1"/>
    <xf numFmtId="0" fontId="26" fillId="11" borderId="11" xfId="0" applyFont="1" applyFill="1" applyBorder="1"/>
    <xf numFmtId="0" fontId="24" fillId="13" borderId="5" xfId="0" applyFont="1" applyFill="1" applyBorder="1" applyAlignment="1">
      <alignment vertical="center" wrapText="1"/>
    </xf>
    <xf numFmtId="14" fontId="22" fillId="0" borderId="9" xfId="0" applyNumberFormat="1" applyFont="1" applyFill="1" applyBorder="1" applyAlignment="1">
      <alignment horizontal="center" vertical="center" wrapText="1"/>
    </xf>
    <xf numFmtId="0" fontId="22" fillId="13" borderId="5"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4" fillId="0" borderId="5" xfId="0" applyFont="1" applyFill="1" applyBorder="1" applyAlignment="1">
      <alignment vertical="center" wrapText="1"/>
    </xf>
    <xf numFmtId="0" fontId="28"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13" borderId="1" xfId="0" applyFont="1" applyFill="1" applyBorder="1" applyAlignment="1">
      <alignment vertical="center" wrapText="1"/>
    </xf>
    <xf numFmtId="0" fontId="22" fillId="13" borderId="1" xfId="0" applyFont="1" applyFill="1" applyBorder="1" applyAlignment="1">
      <alignment vertical="center" wrapText="1"/>
    </xf>
    <xf numFmtId="0" fontId="24" fillId="13" borderId="2" xfId="0" applyFont="1" applyFill="1" applyBorder="1" applyAlignment="1">
      <alignment vertical="center" wrapText="1"/>
    </xf>
    <xf numFmtId="14" fontId="24" fillId="0" borderId="2" xfId="0" applyNumberFormat="1"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4" fillId="13" borderId="32" xfId="0" applyFont="1" applyFill="1" applyBorder="1" applyAlignment="1">
      <alignment horizontal="center" vertical="center" wrapText="1"/>
    </xf>
    <xf numFmtId="0" fontId="24" fillId="13" borderId="32" xfId="0" applyFont="1" applyFill="1" applyBorder="1" applyAlignment="1">
      <alignment vertical="center" wrapText="1"/>
    </xf>
    <xf numFmtId="9" fontId="24" fillId="0" borderId="32" xfId="0" applyNumberFormat="1" applyFont="1" applyFill="1" applyBorder="1" applyAlignment="1">
      <alignment vertical="center" wrapText="1"/>
    </xf>
    <xf numFmtId="0" fontId="22" fillId="13" borderId="32" xfId="0" applyFont="1" applyFill="1" applyBorder="1" applyAlignment="1">
      <alignment vertical="center" wrapText="1"/>
    </xf>
    <xf numFmtId="14" fontId="22" fillId="0" borderId="33" xfId="0" applyNumberFormat="1" applyFont="1" applyFill="1" applyBorder="1" applyAlignment="1">
      <alignment horizontal="center" vertical="center"/>
    </xf>
    <xf numFmtId="0" fontId="26" fillId="0" borderId="28" xfId="0" applyFont="1" applyBorder="1"/>
    <xf numFmtId="0" fontId="26" fillId="0" borderId="5" xfId="0" applyFont="1" applyBorder="1"/>
    <xf numFmtId="0" fontId="26" fillId="0" borderId="29" xfId="0" applyFont="1" applyBorder="1"/>
    <xf numFmtId="0" fontId="26" fillId="0" borderId="11" xfId="0" applyFont="1" applyBorder="1"/>
    <xf numFmtId="0" fontId="24" fillId="0" borderId="5"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13" borderId="35" xfId="0" applyFont="1" applyFill="1" applyBorder="1" applyAlignment="1">
      <alignment vertical="center" wrapText="1"/>
    </xf>
    <xf numFmtId="0" fontId="22" fillId="13" borderId="35" xfId="0" applyFont="1" applyFill="1" applyBorder="1" applyAlignment="1">
      <alignment vertical="center" wrapText="1"/>
    </xf>
    <xf numFmtId="14" fontId="22" fillId="0" borderId="36" xfId="0" applyNumberFormat="1" applyFont="1" applyFill="1" applyBorder="1" applyAlignment="1">
      <alignment horizontal="center" vertical="center" wrapText="1"/>
    </xf>
    <xf numFmtId="0" fontId="30" fillId="2" borderId="8" xfId="0" applyFont="1" applyFill="1" applyBorder="1" applyAlignment="1">
      <alignment horizontal="center" vertical="center" wrapText="1"/>
    </xf>
    <xf numFmtId="0" fontId="24" fillId="13" borderId="8" xfId="0" applyFont="1" applyFill="1" applyBorder="1" applyAlignment="1">
      <alignment horizontal="center" vertical="center" wrapText="1"/>
    </xf>
    <xf numFmtId="0" fontId="24" fillId="13" borderId="8" xfId="0" applyFont="1" applyFill="1" applyBorder="1" applyAlignment="1">
      <alignment vertical="center" wrapText="1"/>
    </xf>
    <xf numFmtId="0" fontId="22" fillId="13" borderId="8" xfId="0" applyFont="1" applyFill="1" applyBorder="1" applyAlignment="1">
      <alignment vertical="center" wrapText="1"/>
    </xf>
    <xf numFmtId="0" fontId="22" fillId="0" borderId="15" xfId="0" applyFont="1" applyFill="1" applyBorder="1" applyAlignment="1">
      <alignment vertical="center" wrapText="1"/>
    </xf>
    <xf numFmtId="14" fontId="24" fillId="0" borderId="15" xfId="0" applyNumberFormat="1" applyFont="1" applyFill="1" applyBorder="1" applyAlignment="1">
      <alignment horizontal="center" vertical="center" wrapText="1"/>
    </xf>
    <xf numFmtId="0" fontId="30" fillId="0" borderId="5" xfId="0" applyFont="1" applyFill="1" applyBorder="1" applyAlignment="1">
      <alignment horizontal="center" vertical="center" wrapText="1"/>
    </xf>
    <xf numFmtId="14" fontId="24" fillId="0" borderId="9" xfId="0" applyNumberFormat="1" applyFont="1" applyFill="1" applyBorder="1" applyAlignment="1">
      <alignment horizontal="center" vertical="center"/>
    </xf>
    <xf numFmtId="0" fontId="28" fillId="0" borderId="5" xfId="0" applyFont="1" applyBorder="1" applyAlignment="1">
      <alignment horizontal="center" vertical="center"/>
    </xf>
    <xf numFmtId="0" fontId="28" fillId="0" borderId="35" xfId="0" applyFont="1" applyBorder="1" applyAlignment="1">
      <alignment horizontal="center" vertical="center"/>
    </xf>
    <xf numFmtId="0" fontId="24" fillId="13" borderId="35" xfId="0" applyFont="1" applyFill="1" applyBorder="1" applyAlignment="1">
      <alignment horizontal="center" vertical="center" wrapText="1"/>
    </xf>
    <xf numFmtId="0" fontId="24" fillId="13" borderId="36" xfId="0" applyFont="1" applyFill="1" applyBorder="1" applyAlignment="1">
      <alignment vertical="center" wrapText="1"/>
    </xf>
    <xf numFmtId="14" fontId="22" fillId="0" borderId="36" xfId="0" applyNumberFormat="1" applyFont="1" applyFill="1" applyBorder="1" applyAlignment="1">
      <alignment horizontal="center" vertical="center"/>
    </xf>
    <xf numFmtId="0" fontId="26" fillId="0" borderId="34" xfId="0" applyFont="1" applyBorder="1"/>
    <xf numFmtId="0" fontId="26" fillId="0" borderId="35" xfId="0" applyFont="1" applyBorder="1"/>
    <xf numFmtId="0" fontId="26" fillId="0" borderId="38" xfId="0" applyFont="1" applyBorder="1"/>
    <xf numFmtId="0" fontId="26" fillId="0" borderId="39" xfId="0" applyFont="1" applyBorder="1"/>
    <xf numFmtId="0" fontId="26" fillId="0" borderId="0" xfId="0" applyFont="1" applyAlignment="1">
      <alignment vertical="center"/>
    </xf>
    <xf numFmtId="0" fontId="26" fillId="0" borderId="0" xfId="0" applyFont="1" applyAlignment="1">
      <alignment horizontal="center" vertical="center"/>
    </xf>
    <xf numFmtId="9" fontId="0" fillId="0" borderId="5" xfId="0" applyNumberFormat="1" applyFill="1" applyBorder="1" applyAlignment="1">
      <alignment horizontal="center" vertical="center"/>
    </xf>
    <xf numFmtId="9" fontId="0" fillId="0" borderId="5" xfId="2" applyFont="1" applyFill="1" applyBorder="1" applyAlignment="1">
      <alignment horizontal="left" vertical="center" wrapText="1"/>
    </xf>
    <xf numFmtId="0" fontId="26" fillId="11" borderId="28" xfId="0" applyFont="1" applyFill="1" applyBorder="1" applyAlignment="1">
      <alignment vertical="center"/>
    </xf>
    <xf numFmtId="9" fontId="26" fillId="0" borderId="28" xfId="0" applyNumberFormat="1" applyFont="1" applyBorder="1" applyAlignment="1">
      <alignment horizontal="center" vertical="center"/>
    </xf>
    <xf numFmtId="3" fontId="7" fillId="0" borderId="7" xfId="0" applyNumberFormat="1" applyFont="1" applyFill="1" applyBorder="1" applyAlignment="1">
      <alignment vertical="center"/>
    </xf>
    <xf numFmtId="10" fontId="3" fillId="0" borderId="8" xfId="0" quotePrefix="1" applyNumberFormat="1" applyFont="1" applyFill="1" applyBorder="1" applyAlignment="1">
      <alignment horizontal="center" vertical="center"/>
    </xf>
    <xf numFmtId="0" fontId="0" fillId="2" borderId="20" xfId="0" applyFill="1" applyBorder="1"/>
    <xf numFmtId="0" fontId="0" fillId="2" borderId="0" xfId="0" applyFill="1" applyBorder="1"/>
    <xf numFmtId="0" fontId="0" fillId="0" borderId="0" xfId="0" applyBorder="1" applyAlignment="1">
      <alignment horizontal="center" vertical="center"/>
    </xf>
    <xf numFmtId="0" fontId="0" fillId="0" borderId="0" xfId="0" applyBorder="1"/>
    <xf numFmtId="0" fontId="3" fillId="0" borderId="28" xfId="0" applyFont="1" applyBorder="1" applyAlignment="1">
      <alignment horizontal="center" vertical="center"/>
    </xf>
    <xf numFmtId="0" fontId="0" fillId="0" borderId="29" xfId="0" applyBorder="1"/>
    <xf numFmtId="0" fontId="0" fillId="0" borderId="29" xfId="0" applyBorder="1" applyAlignment="1">
      <alignment vertical="center" wrapText="1"/>
    </xf>
    <xf numFmtId="0" fontId="0" fillId="0" borderId="29" xfId="0" applyBorder="1" applyAlignment="1">
      <alignment wrapText="1"/>
    </xf>
    <xf numFmtId="0" fontId="0" fillId="0" borderId="29" xfId="0" applyBorder="1" applyAlignment="1">
      <alignment horizontal="center" vertical="center"/>
    </xf>
    <xf numFmtId="0" fontId="3" fillId="0" borderId="30" xfId="0" quotePrefix="1" applyFont="1" applyFill="1" applyBorder="1" applyAlignment="1">
      <alignment horizontal="center" vertical="center"/>
    </xf>
    <xf numFmtId="0" fontId="0" fillId="0" borderId="29" xfId="0" applyBorder="1" applyAlignment="1">
      <alignment horizontal="center" vertical="center" wrapText="1"/>
    </xf>
    <xf numFmtId="0" fontId="0" fillId="0" borderId="35" xfId="0" applyFill="1" applyBorder="1" applyAlignment="1">
      <alignment horizontal="center" vertical="center"/>
    </xf>
    <xf numFmtId="0" fontId="4" fillId="0" borderId="35" xfId="0" applyFont="1" applyFill="1" applyBorder="1" applyAlignment="1">
      <alignment horizontal="justify" vertical="center" wrapText="1" shrinkToFit="1"/>
    </xf>
    <xf numFmtId="0" fontId="4" fillId="0" borderId="35" xfId="0" quotePrefix="1" applyFont="1" applyFill="1" applyBorder="1" applyAlignment="1">
      <alignment horizontal="center" vertical="center" wrapText="1"/>
    </xf>
    <xf numFmtId="165" fontId="15" fillId="0" borderId="35" xfId="0" applyNumberFormat="1" applyFont="1" applyFill="1" applyBorder="1" applyAlignment="1" applyProtection="1">
      <alignment horizontal="center" vertical="center"/>
      <protection locked="0"/>
    </xf>
    <xf numFmtId="0" fontId="4" fillId="0" borderId="39" xfId="0" quotePrefix="1" applyFont="1" applyFill="1" applyBorder="1" applyAlignment="1">
      <alignment horizontal="center" vertical="center" wrapText="1"/>
    </xf>
    <xf numFmtId="10" fontId="3" fillId="0" borderId="35" xfId="0" quotePrefix="1" applyNumberFormat="1" applyFont="1" applyFill="1" applyBorder="1" applyAlignment="1">
      <alignment horizontal="center" vertical="center"/>
    </xf>
    <xf numFmtId="0" fontId="0" fillId="0" borderId="35" xfId="0" applyBorder="1" applyAlignment="1">
      <alignment horizontal="center" vertical="center"/>
    </xf>
    <xf numFmtId="0" fontId="0" fillId="0" borderId="35" xfId="0" applyBorder="1"/>
    <xf numFmtId="0" fontId="24" fillId="2" borderId="5" xfId="1" applyFont="1" applyFill="1" applyBorder="1" applyAlignment="1" applyProtection="1">
      <alignment horizontal="left" vertical="top" wrapText="1"/>
    </xf>
    <xf numFmtId="0" fontId="22" fillId="0" borderId="5" xfId="0" applyFont="1" applyBorder="1" applyAlignment="1">
      <alignment horizontal="center" vertical="center" wrapText="1"/>
    </xf>
    <xf numFmtId="0" fontId="22" fillId="0" borderId="0" xfId="0" applyFont="1"/>
    <xf numFmtId="0" fontId="22" fillId="0" borderId="0" xfId="0" applyFont="1" applyAlignment="1">
      <alignment horizontal="center"/>
    </xf>
    <xf numFmtId="0" fontId="32" fillId="10" borderId="28" xfId="0" applyFont="1" applyFill="1" applyBorder="1" applyAlignment="1">
      <alignment horizontal="center" vertical="center" wrapText="1"/>
    </xf>
    <xf numFmtId="0" fontId="32" fillId="10" borderId="5" xfId="0" applyFont="1" applyFill="1" applyBorder="1" applyAlignment="1">
      <alignment horizontal="center" vertical="center" wrapText="1"/>
    </xf>
    <xf numFmtId="0" fontId="32" fillId="10" borderId="29" xfId="0" applyFont="1" applyFill="1" applyBorder="1" applyAlignment="1">
      <alignment horizontal="center" vertical="center" wrapText="1"/>
    </xf>
    <xf numFmtId="0" fontId="32" fillId="10" borderId="11" xfId="0" applyFont="1" applyFill="1" applyBorder="1" applyAlignment="1">
      <alignment horizontal="center" vertical="center" wrapText="1"/>
    </xf>
    <xf numFmtId="0" fontId="33" fillId="11" borderId="0" xfId="0" applyFont="1" applyFill="1" applyBorder="1"/>
    <xf numFmtId="0" fontId="24" fillId="2" borderId="29" xfId="1" applyFont="1" applyFill="1" applyBorder="1" applyAlignment="1" applyProtection="1">
      <alignment horizontal="center" vertical="center" wrapText="1"/>
    </xf>
    <xf numFmtId="0" fontId="22" fillId="11" borderId="29" xfId="0" applyFont="1" applyFill="1" applyBorder="1" applyAlignment="1">
      <alignment horizontal="center" vertical="center" wrapText="1"/>
    </xf>
    <xf numFmtId="0" fontId="22" fillId="0" borderId="29" xfId="0" applyFont="1" applyBorder="1" applyAlignment="1">
      <alignment horizontal="center"/>
    </xf>
    <xf numFmtId="0" fontId="22" fillId="0" borderId="38" xfId="0" applyFont="1" applyBorder="1" applyAlignment="1">
      <alignment horizontal="center"/>
    </xf>
    <xf numFmtId="0" fontId="6" fillId="0" borderId="8" xfId="0" quotePrefix="1" applyFont="1" applyFill="1" applyBorder="1" applyAlignment="1">
      <alignment horizontal="center" vertical="center" wrapText="1" shrinkToFit="1"/>
    </xf>
    <xf numFmtId="0" fontId="4" fillId="14" borderId="5" xfId="1" applyFont="1" applyFill="1" applyBorder="1" applyAlignment="1" applyProtection="1">
      <alignment horizontal="center" vertical="center" wrapText="1"/>
    </xf>
    <xf numFmtId="0" fontId="4" fillId="14" borderId="29" xfId="1" applyFont="1" applyFill="1" applyBorder="1" applyAlignment="1" applyProtection="1">
      <alignment horizontal="center" vertical="center" wrapText="1"/>
    </xf>
    <xf numFmtId="0" fontId="3" fillId="0" borderId="31" xfId="0" quotePrefix="1" applyFont="1" applyFill="1" applyBorder="1" applyAlignment="1">
      <alignment horizontal="right" vertical="center"/>
    </xf>
    <xf numFmtId="0" fontId="34" fillId="0" borderId="0" xfId="0" applyFont="1" applyBorder="1" applyAlignment="1">
      <alignment vertical="center"/>
    </xf>
    <xf numFmtId="0" fontId="35" fillId="0" borderId="0" xfId="0" applyFont="1" applyBorder="1" applyAlignment="1">
      <alignment vertical="center" wrapText="1"/>
    </xf>
    <xf numFmtId="0" fontId="34" fillId="0" borderId="0" xfId="0" applyFont="1" applyAlignment="1">
      <alignment vertical="center"/>
    </xf>
    <xf numFmtId="0" fontId="36" fillId="0" borderId="5" xfId="0" applyFont="1" applyFill="1" applyBorder="1" applyAlignment="1">
      <alignment vertical="center"/>
    </xf>
    <xf numFmtId="0" fontId="6" fillId="0" borderId="0" xfId="0" quotePrefix="1" applyFont="1" applyFill="1" applyBorder="1" applyAlignment="1" applyProtection="1">
      <alignment vertical="center" wrapText="1"/>
      <protection locked="0"/>
    </xf>
    <xf numFmtId="0" fontId="42" fillId="0" borderId="0" xfId="0" applyFont="1"/>
    <xf numFmtId="0" fontId="40" fillId="22" borderId="5" xfId="0" applyFont="1" applyFill="1" applyBorder="1" applyAlignment="1">
      <alignment horizontal="center" vertical="center" wrapText="1"/>
    </xf>
    <xf numFmtId="0" fontId="40" fillId="22" borderId="5" xfId="0" applyFont="1" applyFill="1" applyBorder="1" applyAlignment="1">
      <alignment horizontal="center" vertical="center" wrapText="1"/>
    </xf>
    <xf numFmtId="0" fontId="44" fillId="0" borderId="5" xfId="0" applyFont="1" applyFill="1" applyBorder="1" applyAlignment="1">
      <alignment vertical="center" wrapText="1"/>
    </xf>
    <xf numFmtId="0" fontId="45" fillId="0" borderId="5"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5" fillId="0" borderId="5" xfId="0" quotePrefix="1" applyFont="1" applyBorder="1" applyAlignment="1" applyProtection="1">
      <alignment vertical="center" wrapText="1"/>
      <protection locked="0"/>
    </xf>
    <xf numFmtId="0" fontId="44" fillId="0" borderId="5" xfId="0" applyFont="1" applyBorder="1" applyAlignment="1">
      <alignment horizontal="center" vertical="center"/>
    </xf>
    <xf numFmtId="0" fontId="44" fillId="0" borderId="5" xfId="0" applyFont="1" applyBorder="1"/>
    <xf numFmtId="0" fontId="44" fillId="0" borderId="5" xfId="0" applyFont="1" applyBorder="1" applyAlignment="1">
      <alignment vertical="center"/>
    </xf>
    <xf numFmtId="0" fontId="44" fillId="0" borderId="5" xfId="0" applyFont="1" applyFill="1" applyBorder="1" applyAlignment="1">
      <alignment vertical="center"/>
    </xf>
    <xf numFmtId="0" fontId="46" fillId="15" borderId="5" xfId="0" applyFont="1" applyFill="1" applyBorder="1" applyAlignment="1">
      <alignment vertical="center"/>
    </xf>
    <xf numFmtId="0" fontId="46" fillId="0" borderId="5" xfId="0" applyFont="1" applyFill="1" applyBorder="1" applyAlignment="1" applyProtection="1">
      <alignment vertical="center"/>
    </xf>
    <xf numFmtId="0" fontId="45" fillId="0" borderId="5" xfId="0" quotePrefix="1" applyFont="1" applyBorder="1" applyAlignment="1" applyProtection="1">
      <alignment horizontal="justify" vertical="center" wrapText="1"/>
      <protection locked="0"/>
    </xf>
    <xf numFmtId="0" fontId="44" fillId="0" borderId="5" xfId="0" applyFont="1" applyBorder="1" applyAlignment="1">
      <alignment horizontal="center" vertical="center" wrapText="1"/>
    </xf>
    <xf numFmtId="0" fontId="44" fillId="2" borderId="5" xfId="0" applyFont="1" applyFill="1" applyBorder="1" applyAlignment="1">
      <alignment vertical="center" wrapText="1"/>
    </xf>
    <xf numFmtId="0" fontId="44" fillId="2" borderId="5" xfId="0" applyFont="1" applyFill="1" applyBorder="1" applyAlignment="1">
      <alignment horizontal="center" vertical="center" wrapText="1"/>
    </xf>
    <xf numFmtId="0" fontId="44" fillId="0" borderId="5" xfId="0" applyFont="1" applyFill="1" applyBorder="1" applyAlignment="1" applyProtection="1">
      <alignment vertical="center"/>
    </xf>
    <xf numFmtId="0" fontId="44" fillId="0" borderId="5" xfId="0" applyFont="1" applyBorder="1" applyAlignment="1">
      <alignment vertical="center" wrapText="1"/>
    </xf>
    <xf numFmtId="49" fontId="44" fillId="0" borderId="5" xfId="0" applyNumberFormat="1" applyFont="1" applyBorder="1" applyAlignment="1">
      <alignment vertical="center" wrapText="1"/>
    </xf>
    <xf numFmtId="0" fontId="45" fillId="0" borderId="5" xfId="0" applyFont="1" applyBorder="1" applyAlignment="1" applyProtection="1">
      <alignment horizontal="justify" vertical="center" wrapText="1" shrinkToFit="1"/>
      <protection locked="0"/>
    </xf>
    <xf numFmtId="0" fontId="45" fillId="0" borderId="5" xfId="0" quotePrefix="1" applyFont="1" applyBorder="1" applyAlignment="1" applyProtection="1">
      <alignment horizontal="justify" vertical="center" wrapText="1" shrinkToFit="1"/>
      <protection locked="0"/>
    </xf>
    <xf numFmtId="0" fontId="44" fillId="0" borderId="5" xfId="0" applyFont="1" applyBorder="1" applyAlignment="1">
      <alignment horizontal="center" vertical="center"/>
    </xf>
    <xf numFmtId="0" fontId="45" fillId="2" borderId="5" xfId="0" applyFont="1" applyFill="1" applyBorder="1" applyAlignment="1">
      <alignment vertical="center" wrapText="1"/>
    </xf>
    <xf numFmtId="0" fontId="44" fillId="0" borderId="5" xfId="0" applyFont="1" applyFill="1" applyBorder="1" applyAlignment="1">
      <alignment horizontal="center" vertical="center" wrapText="1"/>
    </xf>
    <xf numFmtId="0" fontId="44" fillId="0" borderId="5" xfId="0" applyFont="1" applyBorder="1" applyAlignment="1">
      <alignment horizontal="center" vertical="center" wrapText="1"/>
    </xf>
    <xf numFmtId="0" fontId="44" fillId="2" borderId="5" xfId="0" applyFont="1" applyFill="1" applyBorder="1" applyAlignment="1">
      <alignment horizontal="center" vertical="center" wrapText="1"/>
    </xf>
    <xf numFmtId="0" fontId="45" fillId="0" borderId="5" xfId="0" applyFont="1" applyFill="1" applyBorder="1" applyAlignment="1">
      <alignment vertical="center" wrapText="1"/>
    </xf>
    <xf numFmtId="0" fontId="46" fillId="0" borderId="5" xfId="0" applyFont="1" applyFill="1" applyBorder="1" applyAlignment="1" applyProtection="1">
      <alignment horizontal="center" vertical="center"/>
    </xf>
    <xf numFmtId="0" fontId="44" fillId="2" borderId="5" xfId="0" applyFont="1" applyFill="1" applyBorder="1" applyAlignment="1">
      <alignment horizontal="left" vertical="center" wrapText="1"/>
    </xf>
    <xf numFmtId="0" fontId="44" fillId="0" borderId="5" xfId="0" applyFont="1" applyBorder="1" applyAlignment="1">
      <alignment horizontal="left" vertical="center" wrapText="1"/>
    </xf>
    <xf numFmtId="0" fontId="45" fillId="0" borderId="5" xfId="0" applyFont="1" applyFill="1" applyBorder="1" applyAlignment="1">
      <alignment horizontal="center" vertical="center" wrapText="1"/>
    </xf>
    <xf numFmtId="0" fontId="44" fillId="2" borderId="5" xfId="0" applyFont="1" applyFill="1" applyBorder="1" applyAlignment="1">
      <alignment horizontal="justify" vertical="center" wrapText="1"/>
    </xf>
    <xf numFmtId="0" fontId="44" fillId="0" borderId="5" xfId="0" applyFont="1" applyBorder="1" applyAlignment="1">
      <alignment horizontal="justify" vertical="center" wrapText="1"/>
    </xf>
    <xf numFmtId="0" fontId="45" fillId="2" borderId="5" xfId="0" applyFont="1" applyFill="1" applyBorder="1" applyAlignment="1">
      <alignment horizontal="justify" vertical="center" wrapText="1"/>
    </xf>
    <xf numFmtId="0" fontId="44" fillId="0" borderId="5" xfId="0" quotePrefix="1" applyFont="1" applyBorder="1" applyAlignment="1">
      <alignment horizontal="center" vertical="center" wrapText="1"/>
    </xf>
    <xf numFmtId="0" fontId="44" fillId="0" borderId="5" xfId="0" quotePrefix="1" applyFont="1" applyBorder="1" applyAlignment="1">
      <alignment horizontal="center" vertical="center" wrapText="1"/>
    </xf>
    <xf numFmtId="0" fontId="45" fillId="0" borderId="5" xfId="0" applyFont="1" applyFill="1" applyBorder="1" applyAlignment="1" applyProtection="1">
      <alignment horizontal="justify" vertical="center" wrapText="1"/>
      <protection locked="0"/>
    </xf>
    <xf numFmtId="0" fontId="45" fillId="0" borderId="5" xfId="0" applyFont="1" applyBorder="1" applyAlignment="1" applyProtection="1">
      <alignment horizontal="justify" vertical="center" wrapText="1"/>
      <protection locked="0"/>
    </xf>
    <xf numFmtId="0" fontId="46" fillId="0" borderId="5" xfId="0" applyFont="1" applyBorder="1" applyAlignment="1">
      <alignment horizontal="center" vertical="center"/>
    </xf>
    <xf numFmtId="0" fontId="45" fillId="0" borderId="5" xfId="0" quotePrefix="1" applyFont="1" applyFill="1" applyBorder="1" applyAlignment="1" applyProtection="1">
      <alignment horizontal="justify" vertical="center" wrapText="1" shrinkToFit="1"/>
      <protection locked="0"/>
    </xf>
    <xf numFmtId="0" fontId="45" fillId="2" borderId="5" xfId="0" applyFont="1" applyFill="1" applyBorder="1" applyAlignment="1" applyProtection="1">
      <alignment horizontal="justify" vertical="center"/>
      <protection locked="0"/>
    </xf>
    <xf numFmtId="0" fontId="45" fillId="0" borderId="5" xfId="0" applyFont="1" applyBorder="1" applyAlignment="1" applyProtection="1">
      <alignment horizontal="justify" vertical="center"/>
      <protection locked="0"/>
    </xf>
    <xf numFmtId="0" fontId="45" fillId="0" borderId="5" xfId="0" applyFont="1" applyFill="1" applyBorder="1" applyAlignment="1" applyProtection="1">
      <alignment horizontal="justify" vertical="center"/>
      <protection locked="0"/>
    </xf>
    <xf numFmtId="0" fontId="45" fillId="0" borderId="5" xfId="0" quotePrefix="1" applyFont="1" applyFill="1" applyBorder="1" applyAlignment="1" applyProtection="1">
      <alignment horizontal="justify" vertical="center" wrapText="1"/>
      <protection locked="0"/>
    </xf>
    <xf numFmtId="0" fontId="45" fillId="0" borderId="5" xfId="0" applyFont="1" applyFill="1" applyBorder="1" applyAlignment="1" applyProtection="1">
      <alignment horizontal="center" vertical="center" wrapText="1" shrinkToFit="1"/>
      <protection locked="0"/>
    </xf>
    <xf numFmtId="0" fontId="45" fillId="0" borderId="5" xfId="0" applyFont="1" applyBorder="1" applyAlignment="1" applyProtection="1">
      <alignment horizontal="center" vertical="center" wrapText="1"/>
      <protection locked="0"/>
    </xf>
    <xf numFmtId="0" fontId="44" fillId="0" borderId="5" xfId="0" applyFont="1" applyFill="1" applyBorder="1" applyAlignment="1">
      <alignment horizontal="center" vertical="center"/>
    </xf>
    <xf numFmtId="0" fontId="45" fillId="0" borderId="5" xfId="0" quotePrefix="1" applyFont="1" applyFill="1" applyBorder="1" applyAlignment="1" applyProtection="1">
      <alignment horizontal="center" vertical="center" wrapText="1" shrinkToFit="1"/>
      <protection locked="0"/>
    </xf>
    <xf numFmtId="0" fontId="44" fillId="2" borderId="5" xfId="0" applyFont="1" applyFill="1" applyBorder="1" applyAlignment="1">
      <alignment horizontal="justify" vertical="center" wrapText="1"/>
    </xf>
    <xf numFmtId="0" fontId="44" fillId="0" borderId="5" xfId="0" applyFont="1" applyBorder="1" applyAlignment="1">
      <alignment horizontal="justify" vertical="center" wrapText="1"/>
    </xf>
    <xf numFmtId="0" fontId="45" fillId="2" borderId="5" xfId="0" applyFont="1" applyFill="1" applyBorder="1" applyAlignment="1">
      <alignment horizontal="justify" vertical="center" wrapText="1"/>
    </xf>
    <xf numFmtId="0" fontId="45" fillId="0" borderId="5" xfId="0" applyFont="1" applyFill="1" applyBorder="1" applyAlignment="1">
      <alignment horizontal="justify" vertical="center"/>
    </xf>
    <xf numFmtId="0" fontId="45" fillId="0" borderId="5" xfId="0" applyFont="1" applyFill="1" applyBorder="1" applyAlignment="1">
      <alignment horizontal="left" vertical="center" wrapText="1"/>
    </xf>
    <xf numFmtId="49" fontId="44" fillId="0" borderId="5" xfId="0" applyNumberFormat="1" applyFont="1" applyFill="1" applyBorder="1" applyAlignment="1">
      <alignment vertical="center" wrapText="1"/>
    </xf>
    <xf numFmtId="0" fontId="44" fillId="2" borderId="5" xfId="0" applyFont="1" applyFill="1" applyBorder="1" applyAlignment="1">
      <alignment horizontal="left" vertical="center" wrapText="1"/>
    </xf>
    <xf numFmtId="0" fontId="44" fillId="0" borderId="5" xfId="0" applyFont="1" applyFill="1" applyBorder="1" applyAlignment="1">
      <alignment horizontal="center" vertical="center" wrapText="1"/>
    </xf>
    <xf numFmtId="0" fontId="3" fillId="14" borderId="5" xfId="1" applyFont="1" applyFill="1" applyBorder="1" applyAlignment="1" applyProtection="1">
      <alignment vertical="center" wrapText="1"/>
    </xf>
    <xf numFmtId="0" fontId="3" fillId="14" borderId="5" xfId="1" applyFont="1" applyFill="1" applyBorder="1" applyAlignment="1" applyProtection="1">
      <alignment horizontal="center" vertical="center" wrapText="1"/>
    </xf>
    <xf numFmtId="0" fontId="26" fillId="0"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xf numFmtId="9" fontId="0" fillId="0" borderId="5" xfId="0" applyNumberFormat="1" applyBorder="1"/>
    <xf numFmtId="0" fontId="0" fillId="0" borderId="5" xfId="0" applyBorder="1" applyAlignment="1">
      <alignment horizontal="left" vertical="center" wrapText="1"/>
    </xf>
    <xf numFmtId="164" fontId="0" fillId="0" borderId="5" xfId="0" applyNumberFormat="1" applyBorder="1" applyAlignment="1">
      <alignment horizontal="left" vertical="center" wrapText="1"/>
    </xf>
    <xf numFmtId="0" fontId="24" fillId="13" borderId="5" xfId="0" applyFont="1" applyFill="1" applyBorder="1" applyAlignment="1">
      <alignment horizontal="center" vertical="center" wrapText="1"/>
    </xf>
    <xf numFmtId="9" fontId="0" fillId="0" borderId="5" xfId="2" applyFont="1" applyFill="1" applyBorder="1" applyAlignment="1">
      <alignment horizontal="center" vertical="center" wrapText="1"/>
    </xf>
    <xf numFmtId="9" fontId="0" fillId="0" borderId="5" xfId="0" applyNumberFormat="1" applyFill="1" applyBorder="1" applyAlignment="1">
      <alignment horizontal="center" vertical="center" wrapText="1"/>
    </xf>
    <xf numFmtId="0" fontId="24" fillId="2" borderId="5" xfId="1" applyFont="1" applyFill="1" applyBorder="1" applyAlignment="1" applyProtection="1">
      <alignment horizontal="center" vertical="center" wrapText="1"/>
    </xf>
    <xf numFmtId="0" fontId="48" fillId="2" borderId="29" xfId="4" applyFill="1" applyBorder="1" applyAlignment="1" applyProtection="1">
      <alignment horizontal="center" vertical="center" wrapText="1"/>
    </xf>
    <xf numFmtId="0" fontId="26" fillId="11" borderId="28" xfId="0" applyFont="1" applyFill="1" applyBorder="1" applyAlignment="1">
      <alignment horizontal="center" vertical="center" wrapText="1"/>
    </xf>
    <xf numFmtId="9" fontId="26" fillId="11" borderId="28" xfId="0" applyNumberFormat="1" applyFont="1" applyFill="1" applyBorder="1" applyAlignment="1">
      <alignment horizontal="center" vertical="center" wrapText="1"/>
    </xf>
    <xf numFmtId="0" fontId="48" fillId="11" borderId="29" xfId="4" applyFill="1" applyBorder="1" applyAlignment="1">
      <alignment horizontal="center" wrapText="1"/>
    </xf>
    <xf numFmtId="0" fontId="34" fillId="0" borderId="28" xfId="0" applyFont="1" applyFill="1" applyBorder="1" applyAlignment="1">
      <alignment horizontal="center" vertical="center" wrapText="1"/>
    </xf>
    <xf numFmtId="0" fontId="34" fillId="0" borderId="5" xfId="0" applyFont="1" applyFill="1" applyBorder="1" applyAlignment="1">
      <alignment horizontal="center" wrapText="1"/>
    </xf>
    <xf numFmtId="0" fontId="34" fillId="0" borderId="29" xfId="0" applyFont="1" applyFill="1" applyBorder="1" applyAlignment="1">
      <alignment wrapText="1"/>
    </xf>
    <xf numFmtId="9" fontId="34" fillId="0" borderId="28" xfId="2" applyFont="1" applyFill="1" applyBorder="1" applyAlignment="1">
      <alignment horizontal="center" vertical="center" wrapText="1"/>
    </xf>
    <xf numFmtId="0" fontId="34" fillId="0" borderId="5"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34" fillId="0" borderId="29" xfId="0" applyFont="1" applyFill="1" applyBorder="1" applyAlignment="1">
      <alignment horizontal="center" vertical="center" wrapText="1"/>
    </xf>
    <xf numFmtId="9" fontId="50" fillId="0" borderId="28" xfId="2" applyFont="1" applyFill="1" applyBorder="1" applyAlignment="1">
      <alignment horizontal="center" vertical="center" wrapText="1"/>
    </xf>
    <xf numFmtId="0" fontId="26" fillId="0" borderId="28" xfId="0" applyFont="1" applyBorder="1" applyAlignment="1">
      <alignment horizontal="center" vertical="center"/>
    </xf>
    <xf numFmtId="0" fontId="24" fillId="0" borderId="29" xfId="0" applyFont="1" applyBorder="1" applyAlignment="1">
      <alignment horizontal="center" wrapText="1"/>
    </xf>
    <xf numFmtId="0" fontId="0" fillId="0" borderId="5" xfId="0" applyFill="1" applyBorder="1" applyAlignment="1">
      <alignment wrapText="1"/>
    </xf>
    <xf numFmtId="0" fontId="0" fillId="0" borderId="29" xfId="0" applyFill="1" applyBorder="1"/>
    <xf numFmtId="0" fontId="0" fillId="0" borderId="29" xfId="0" applyFill="1" applyBorder="1" applyAlignment="1">
      <alignment wrapText="1"/>
    </xf>
    <xf numFmtId="0" fontId="4" fillId="7" borderId="9" xfId="1" applyFont="1" applyFill="1" applyBorder="1" applyAlignment="1" applyProtection="1">
      <alignment horizontal="center" vertical="center" wrapText="1"/>
    </xf>
    <xf numFmtId="0" fontId="0" fillId="0" borderId="9" xfId="0" applyBorder="1"/>
    <xf numFmtId="0" fontId="0" fillId="0" borderId="9" xfId="0" applyBorder="1" applyAlignment="1">
      <alignment vertical="center" wrapText="1"/>
    </xf>
    <xf numFmtId="0" fontId="0" fillId="0" borderId="9" xfId="0" applyBorder="1" applyAlignment="1">
      <alignment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36" xfId="0" applyBorder="1"/>
    <xf numFmtId="0" fontId="4" fillId="14" borderId="28" xfId="1" applyFont="1" applyFill="1" applyBorder="1" applyAlignment="1" applyProtection="1">
      <alignment horizontal="center" vertical="center" wrapText="1"/>
    </xf>
    <xf numFmtId="0" fontId="0" fillId="0" borderId="28" xfId="0" applyBorder="1" applyAlignment="1">
      <alignment horizontal="center" vertical="center"/>
    </xf>
    <xf numFmtId="9" fontId="0" fillId="0" borderId="28" xfId="0" applyNumberFormat="1" applyBorder="1" applyAlignment="1">
      <alignment horizontal="center" vertical="center" wrapText="1"/>
    </xf>
    <xf numFmtId="9" fontId="0" fillId="0" borderId="28" xfId="0" applyNumberFormat="1" applyBorder="1" applyAlignment="1">
      <alignment horizontal="center" vertical="center"/>
    </xf>
    <xf numFmtId="9" fontId="0" fillId="0" borderId="28" xfId="2" applyFont="1" applyFill="1" applyBorder="1" applyAlignment="1">
      <alignment horizontal="center" vertical="center" wrapText="1"/>
    </xf>
    <xf numFmtId="0" fontId="21" fillId="0" borderId="28" xfId="0" applyFont="1" applyBorder="1" applyAlignment="1">
      <alignment horizontal="center" vertical="center" wrapText="1"/>
    </xf>
    <xf numFmtId="0" fontId="0" fillId="0" borderId="28" xfId="0" applyBorder="1" applyAlignment="1">
      <alignment horizontal="center" vertical="center" wrapText="1"/>
    </xf>
    <xf numFmtId="9" fontId="0" fillId="0" borderId="28" xfId="0" applyNumberFormat="1" applyFill="1" applyBorder="1" applyAlignment="1">
      <alignment horizontal="center" vertical="center"/>
    </xf>
    <xf numFmtId="9" fontId="0" fillId="0" borderId="28" xfId="0" applyNumberForma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50" fillId="0" borderId="29" xfId="0" applyFont="1" applyFill="1" applyBorder="1" applyAlignment="1">
      <alignment horizontal="center" vertical="center" wrapText="1"/>
    </xf>
    <xf numFmtId="0" fontId="32" fillId="10" borderId="9" xfId="0" applyFont="1" applyFill="1" applyBorder="1" applyAlignment="1">
      <alignment horizontal="center" vertical="center" wrapText="1"/>
    </xf>
    <xf numFmtId="0" fontId="24" fillId="2" borderId="9" xfId="1" applyFont="1" applyFill="1" applyBorder="1" applyAlignment="1" applyProtection="1">
      <alignment horizontal="center" vertical="center" wrapText="1"/>
    </xf>
    <xf numFmtId="0" fontId="24" fillId="2" borderId="9" xfId="1" applyFont="1" applyFill="1" applyBorder="1" applyAlignment="1" applyProtection="1">
      <alignment horizontal="center" wrapText="1"/>
    </xf>
    <xf numFmtId="0" fontId="22" fillId="11" borderId="9" xfId="0" applyFont="1" applyFill="1" applyBorder="1" applyAlignment="1">
      <alignment horizontal="center"/>
    </xf>
    <xf numFmtId="0" fontId="22" fillId="11" borderId="9" xfId="0" applyFont="1" applyFill="1" applyBorder="1" applyAlignment="1">
      <alignment horizontal="center" vertical="center" wrapText="1"/>
    </xf>
    <xf numFmtId="0" fontId="22" fillId="0" borderId="9" xfId="0" applyFont="1" applyBorder="1" applyAlignment="1">
      <alignment horizontal="center"/>
    </xf>
    <xf numFmtId="0" fontId="22" fillId="0" borderId="9" xfId="0" applyFont="1" applyBorder="1" applyAlignment="1">
      <alignment horizontal="center" vertical="center"/>
    </xf>
    <xf numFmtId="0" fontId="22" fillId="0" borderId="36" xfId="0" applyFont="1" applyBorder="1" applyAlignment="1">
      <alignment horizontal="center"/>
    </xf>
    <xf numFmtId="0" fontId="34" fillId="0" borderId="5" xfId="0" applyFont="1" applyFill="1" applyBorder="1" applyAlignment="1">
      <alignment wrapText="1"/>
    </xf>
    <xf numFmtId="0" fontId="51" fillId="0" borderId="5"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0" fillId="0" borderId="5" xfId="0" quotePrefix="1" applyBorder="1" applyAlignment="1">
      <alignment horizontal="center" vertical="center" wrapText="1"/>
    </xf>
    <xf numFmtId="9" fontId="0" fillId="0" borderId="35" xfId="0" applyNumberFormat="1" applyFill="1" applyBorder="1" applyAlignment="1">
      <alignment horizontal="center" vertical="center"/>
    </xf>
    <xf numFmtId="0" fontId="0" fillId="0" borderId="35" xfId="0" applyFill="1" applyBorder="1" applyAlignment="1">
      <alignment wrapText="1"/>
    </xf>
    <xf numFmtId="0" fontId="0" fillId="0" borderId="38" xfId="0" applyFill="1" applyBorder="1" applyAlignment="1">
      <alignment wrapText="1"/>
    </xf>
    <xf numFmtId="0" fontId="2" fillId="0" borderId="20" xfId="0" quotePrefix="1" applyFont="1" applyFill="1" applyBorder="1" applyAlignment="1">
      <alignment horizontal="center" vertical="top" wrapText="1" shrinkToFit="1"/>
    </xf>
    <xf numFmtId="0" fontId="2" fillId="0" borderId="0" xfId="0" quotePrefix="1" applyFont="1" applyFill="1" applyBorder="1" applyAlignment="1">
      <alignment horizontal="center" vertical="top" wrapText="1" shrinkToFit="1"/>
    </xf>
    <xf numFmtId="0" fontId="0" fillId="2" borderId="41" xfId="0" applyFill="1" applyBorder="1" applyAlignment="1">
      <alignment horizontal="center"/>
    </xf>
    <xf numFmtId="0" fontId="0" fillId="2" borderId="10" xfId="0" applyFill="1" applyBorder="1" applyAlignment="1">
      <alignment horizontal="center"/>
    </xf>
    <xf numFmtId="0" fontId="0" fillId="2" borderId="40" xfId="0" applyFill="1" applyBorder="1" applyAlignment="1">
      <alignment horizontal="center"/>
    </xf>
    <xf numFmtId="0" fontId="16" fillId="0" borderId="34" xfId="0" quotePrefix="1" applyFont="1" applyFill="1" applyBorder="1" applyAlignment="1">
      <alignment horizontal="left" vertical="center" wrapText="1"/>
    </xf>
    <xf numFmtId="0" fontId="16" fillId="0" borderId="35" xfId="0" quotePrefix="1" applyFont="1" applyFill="1" applyBorder="1" applyAlignment="1">
      <alignment horizontal="left" vertical="center" wrapText="1"/>
    </xf>
    <xf numFmtId="0" fontId="16" fillId="0" borderId="1" xfId="0" quotePrefix="1" applyFont="1" applyFill="1" applyBorder="1" applyAlignment="1">
      <alignment horizontal="left" vertical="center" wrapText="1"/>
    </xf>
    <xf numFmtId="0" fontId="16" fillId="0" borderId="43" xfId="0" quotePrefix="1" applyFont="1" applyFill="1" applyBorder="1" applyAlignment="1">
      <alignment horizontal="left" vertical="center" wrapText="1"/>
    </xf>
    <xf numFmtId="0" fontId="4" fillId="0" borderId="28" xfId="0" quotePrefix="1" applyFont="1" applyFill="1" applyBorder="1" applyAlignment="1">
      <alignment horizontal="left" vertical="center" wrapText="1" shrinkToFit="1"/>
    </xf>
    <xf numFmtId="0" fontId="4" fillId="0" borderId="5" xfId="0" quotePrefix="1" applyFont="1" applyFill="1" applyBorder="1" applyAlignment="1">
      <alignment horizontal="left" vertical="center" wrapText="1" shrinkToFit="1"/>
    </xf>
    <xf numFmtId="0" fontId="4" fillId="0" borderId="29" xfId="0" quotePrefix="1" applyFont="1" applyFill="1" applyBorder="1" applyAlignment="1">
      <alignment horizontal="left" vertical="center" wrapText="1" shrinkToFit="1"/>
    </xf>
    <xf numFmtId="0" fontId="4" fillId="2" borderId="41" xfId="0" applyFont="1" applyFill="1" applyBorder="1" applyAlignment="1">
      <alignment horizontal="center"/>
    </xf>
    <xf numFmtId="0" fontId="4" fillId="2" borderId="10" xfId="0" applyFont="1" applyFill="1" applyBorder="1" applyAlignment="1">
      <alignment horizontal="center"/>
    </xf>
    <xf numFmtId="0" fontId="4" fillId="2" borderId="40" xfId="0" applyFont="1" applyFill="1" applyBorder="1" applyAlignment="1">
      <alignment horizontal="center"/>
    </xf>
    <xf numFmtId="0" fontId="3" fillId="0" borderId="28" xfId="0" applyFont="1" applyFill="1" applyBorder="1" applyAlignment="1">
      <alignment horizontal="center"/>
    </xf>
    <xf numFmtId="0" fontId="3" fillId="0" borderId="5" xfId="0" applyFont="1" applyFill="1" applyBorder="1" applyAlignment="1">
      <alignment horizontal="center"/>
    </xf>
    <xf numFmtId="0" fontId="3" fillId="0" borderId="29" xfId="0" applyFont="1" applyFill="1" applyBorder="1" applyAlignment="1">
      <alignment horizontal="center"/>
    </xf>
    <xf numFmtId="0" fontId="4" fillId="0" borderId="32" xfId="0" quotePrefix="1" applyFont="1" applyFill="1" applyBorder="1" applyAlignment="1">
      <alignment horizontal="center" vertical="center" wrapText="1"/>
    </xf>
    <xf numFmtId="0" fontId="4" fillId="0" borderId="42" xfId="0" quotePrefix="1" applyFont="1" applyFill="1" applyBorder="1" applyAlignment="1">
      <alignment horizontal="center" vertical="center" wrapText="1"/>
    </xf>
    <xf numFmtId="0" fontId="4" fillId="0" borderId="28" xfId="0" quotePrefix="1" applyFont="1" applyFill="1" applyBorder="1" applyAlignment="1" applyProtection="1">
      <alignment horizontal="left" vertical="center" wrapText="1"/>
      <protection locked="0"/>
    </xf>
    <xf numFmtId="0" fontId="4" fillId="0" borderId="5" xfId="0" quotePrefix="1" applyFont="1" applyFill="1" applyBorder="1" applyAlignment="1" applyProtection="1">
      <alignment horizontal="left" vertical="center" wrapText="1"/>
      <protection locked="0"/>
    </xf>
    <xf numFmtId="0" fontId="4" fillId="0" borderId="29" xfId="0" quotePrefix="1" applyFont="1" applyFill="1" applyBorder="1" applyAlignment="1" applyProtection="1">
      <alignment horizontal="left" vertical="center" wrapText="1"/>
      <protection locked="0"/>
    </xf>
    <xf numFmtId="0" fontId="17" fillId="0" borderId="28" xfId="0" applyFont="1" applyFill="1" applyBorder="1" applyAlignment="1">
      <alignment horizontal="left"/>
    </xf>
    <xf numFmtId="0" fontId="17" fillId="0" borderId="5" xfId="0" applyFont="1" applyFill="1" applyBorder="1" applyAlignment="1">
      <alignment horizontal="left"/>
    </xf>
    <xf numFmtId="0" fontId="17" fillId="0" borderId="29" xfId="0" applyFont="1" applyFill="1" applyBorder="1" applyAlignment="1">
      <alignment horizontal="left"/>
    </xf>
    <xf numFmtId="0" fontId="16" fillId="0" borderId="28" xfId="0" quotePrefix="1" applyFont="1" applyFill="1" applyBorder="1" applyAlignment="1">
      <alignment horizontal="left" wrapText="1"/>
    </xf>
    <xf numFmtId="0" fontId="16" fillId="0" borderId="5" xfId="0" quotePrefix="1" applyFont="1" applyFill="1" applyBorder="1" applyAlignment="1">
      <alignment horizontal="left" wrapText="1"/>
    </xf>
    <xf numFmtId="0" fontId="16" fillId="0" borderId="29" xfId="0" quotePrefix="1" applyFont="1" applyFill="1" applyBorder="1" applyAlignment="1">
      <alignment horizontal="left" wrapText="1"/>
    </xf>
    <xf numFmtId="3" fontId="7" fillId="0" borderId="9" xfId="0" applyNumberFormat="1" applyFont="1" applyFill="1" applyBorder="1" applyAlignment="1">
      <alignment vertical="center"/>
    </xf>
    <xf numFmtId="3" fontId="7" fillId="0" borderId="11" xfId="0" applyNumberFormat="1" applyFont="1" applyFill="1" applyBorder="1" applyAlignment="1">
      <alignment vertical="center"/>
    </xf>
    <xf numFmtId="0" fontId="2" fillId="0" borderId="26" xfId="0" quotePrefix="1" applyFont="1" applyBorder="1" applyAlignment="1">
      <alignment horizontal="center" vertical="center"/>
    </xf>
    <xf numFmtId="0" fontId="2" fillId="0" borderId="8" xfId="0" quotePrefix="1" applyFont="1" applyBorder="1" applyAlignment="1">
      <alignment horizontal="center" vertical="center"/>
    </xf>
    <xf numFmtId="0" fontId="18" fillId="7" borderId="15" xfId="1" applyFont="1" applyFill="1" applyBorder="1" applyAlignment="1" applyProtection="1">
      <alignment horizontal="center"/>
    </xf>
    <xf numFmtId="0" fontId="18" fillId="7" borderId="6" xfId="1" applyFont="1" applyFill="1" applyBorder="1" applyAlignment="1" applyProtection="1">
      <alignment horizontal="center"/>
    </xf>
    <xf numFmtId="0" fontId="3" fillId="0" borderId="30" xfId="0" quotePrefix="1" applyFont="1" applyFill="1" applyBorder="1" applyAlignment="1">
      <alignment horizontal="center" vertical="center" wrapText="1"/>
    </xf>
    <xf numFmtId="0" fontId="3" fillId="0" borderId="26" xfId="0" quotePrefix="1" applyFont="1" applyFill="1" applyBorder="1" applyAlignment="1">
      <alignment horizontal="center" vertical="center" wrapText="1"/>
    </xf>
    <xf numFmtId="0" fontId="4" fillId="0" borderId="9" xfId="0" quotePrefix="1" applyFont="1" applyFill="1" applyBorder="1" applyAlignment="1">
      <alignment horizontal="center" vertical="center" wrapText="1"/>
    </xf>
    <xf numFmtId="0" fontId="4" fillId="0" borderId="11" xfId="0" quotePrefix="1" applyFont="1" applyFill="1" applyBorder="1" applyAlignment="1">
      <alignment horizontal="center" vertical="center" wrapText="1"/>
    </xf>
    <xf numFmtId="0" fontId="4" fillId="0" borderId="9"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3" fillId="0" borderId="25" xfId="0" quotePrefix="1" applyFont="1" applyFill="1" applyBorder="1" applyAlignment="1">
      <alignment horizontal="center" vertical="center" wrapText="1"/>
    </xf>
    <xf numFmtId="3" fontId="7" fillId="0" borderId="15" xfId="0" applyNumberFormat="1" applyFont="1" applyFill="1" applyBorder="1" applyAlignment="1">
      <alignment vertical="center"/>
    </xf>
    <xf numFmtId="3" fontId="7" fillId="0" borderId="7" xfId="0" applyNumberFormat="1" applyFont="1" applyFill="1" applyBorder="1" applyAlignment="1">
      <alignment vertical="center"/>
    </xf>
    <xf numFmtId="0" fontId="4" fillId="0" borderId="9" xfId="0" quotePrefix="1" applyFont="1" applyFill="1" applyBorder="1" applyAlignment="1">
      <alignment horizontal="center" vertical="center"/>
    </xf>
    <xf numFmtId="0" fontId="4" fillId="0" borderId="10" xfId="0" quotePrefix="1" applyFont="1" applyFill="1" applyBorder="1" applyAlignment="1">
      <alignment horizontal="center" vertical="center"/>
    </xf>
    <xf numFmtId="0" fontId="4" fillId="0" borderId="11" xfId="0" quotePrefix="1" applyFont="1" applyFill="1" applyBorder="1" applyAlignment="1">
      <alignment horizontal="center" vertical="center"/>
    </xf>
    <xf numFmtId="0" fontId="18" fillId="14" borderId="31" xfId="1" applyFont="1" applyFill="1" applyBorder="1" applyAlignment="1" applyProtection="1">
      <alignment horizontal="center"/>
    </xf>
    <xf numFmtId="0" fontId="18" fillId="14" borderId="32" xfId="1" applyFont="1" applyFill="1" applyBorder="1" applyAlignment="1" applyProtection="1">
      <alignment horizontal="center"/>
    </xf>
    <xf numFmtId="0" fontId="18" fillId="14" borderId="42" xfId="1" applyFont="1" applyFill="1" applyBorder="1" applyAlignment="1" applyProtection="1">
      <alignment horizontal="center"/>
    </xf>
    <xf numFmtId="0" fontId="0" fillId="0" borderId="0" xfId="0" applyAlignment="1">
      <alignment horizontal="left" wrapText="1"/>
    </xf>
    <xf numFmtId="0" fontId="3" fillId="0" borderId="5" xfId="0" applyFont="1" applyBorder="1" applyAlignment="1">
      <alignment horizontal="center" vertical="center"/>
    </xf>
    <xf numFmtId="0" fontId="15" fillId="0" borderId="11" xfId="0" applyFont="1" applyFill="1" applyBorder="1" applyAlignment="1">
      <alignment horizontal="center" vertical="center" wrapText="1" shrinkToFit="1"/>
    </xf>
    <xf numFmtId="0" fontId="3" fillId="0" borderId="37" xfId="0" quotePrefix="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6" xfId="0" applyFont="1" applyFill="1" applyBorder="1" applyAlignment="1">
      <alignment horizontal="center" vertical="center" wrapText="1" shrinkToFit="1"/>
    </xf>
    <xf numFmtId="0" fontId="15" fillId="0" borderId="39" xfId="0" applyFont="1" applyFill="1" applyBorder="1" applyAlignment="1">
      <alignment horizontal="center" vertical="center" wrapText="1" shrinkToFit="1"/>
    </xf>
    <xf numFmtId="0" fontId="44" fillId="2" borderId="5" xfId="0" applyFont="1" applyFill="1" applyBorder="1" applyAlignment="1">
      <alignment horizontal="center" vertical="center" wrapText="1"/>
    </xf>
    <xf numFmtId="0" fontId="44" fillId="2" borderId="5" xfId="0" applyFont="1" applyFill="1" applyBorder="1" applyAlignment="1">
      <alignment horizontal="center" vertical="center"/>
    </xf>
    <xf numFmtId="49" fontId="44" fillId="0" borderId="5" xfId="0" applyNumberFormat="1" applyFont="1" applyBorder="1" applyAlignment="1">
      <alignment horizontal="center" vertical="center" wrapText="1"/>
    </xf>
    <xf numFmtId="0" fontId="44" fillId="0" borderId="5" xfId="0" applyFont="1" applyBorder="1" applyAlignment="1">
      <alignment horizontal="center" vertical="center" wrapText="1"/>
    </xf>
    <xf numFmtId="0" fontId="44" fillId="0" borderId="5" xfId="0" quotePrefix="1" applyFont="1" applyBorder="1" applyAlignment="1">
      <alignment horizontal="center" vertical="center" wrapText="1"/>
    </xf>
    <xf numFmtId="0" fontId="46" fillId="15" borderId="5" xfId="0" applyFont="1" applyFill="1" applyBorder="1" applyAlignment="1">
      <alignment horizontal="center" vertical="center"/>
    </xf>
    <xf numFmtId="0" fontId="44" fillId="0" borderId="5" xfId="0" applyFont="1" applyFill="1" applyBorder="1" applyAlignment="1" applyProtection="1">
      <alignment horizontal="center" vertical="center"/>
    </xf>
    <xf numFmtId="0" fontId="44" fillId="0" borderId="5" xfId="0" applyFont="1" applyBorder="1" applyAlignment="1">
      <alignment horizontal="center" vertical="center"/>
    </xf>
    <xf numFmtId="0" fontId="44" fillId="0" borderId="5" xfId="0" applyFont="1" applyFill="1" applyBorder="1" applyAlignment="1">
      <alignment horizontal="center" vertical="center"/>
    </xf>
    <xf numFmtId="0" fontId="44" fillId="2" borderId="5" xfId="0" applyFont="1" applyFill="1" applyBorder="1" applyAlignment="1">
      <alignment horizontal="justify" vertical="center" wrapText="1"/>
    </xf>
    <xf numFmtId="0" fontId="44" fillId="0" borderId="5" xfId="0" applyFont="1" applyFill="1" applyBorder="1" applyAlignment="1">
      <alignment horizontal="center" vertical="center" wrapText="1"/>
    </xf>
    <xf numFmtId="0" fontId="44" fillId="15" borderId="5" xfId="0" applyFont="1" applyFill="1" applyBorder="1" applyAlignment="1">
      <alignment horizontal="center" vertical="center"/>
    </xf>
    <xf numFmtId="0" fontId="46" fillId="0" borderId="5" xfId="0" applyFont="1" applyFill="1" applyBorder="1" applyAlignment="1" applyProtection="1">
      <alignment horizontal="center" vertical="center"/>
    </xf>
    <xf numFmtId="43" fontId="46" fillId="0" borderId="5" xfId="3" applyFont="1" applyFill="1" applyBorder="1" applyAlignment="1" applyProtection="1">
      <alignment horizontal="center" vertical="center"/>
    </xf>
    <xf numFmtId="49" fontId="44" fillId="0" borderId="5" xfId="0" applyNumberFormat="1" applyFont="1" applyFill="1" applyBorder="1" applyAlignment="1">
      <alignment horizontal="center" vertical="center" wrapText="1"/>
    </xf>
    <xf numFmtId="1" fontId="44" fillId="0" borderId="5" xfId="0" applyNumberFormat="1" applyFont="1" applyBorder="1" applyAlignment="1">
      <alignment horizontal="center" vertical="center"/>
    </xf>
    <xf numFmtId="0" fontId="45" fillId="0" borderId="5" xfId="0" quotePrefix="1" applyFont="1" applyFill="1" applyBorder="1" applyAlignment="1" applyProtection="1">
      <alignment horizontal="center" vertical="center" wrapText="1"/>
      <protection locked="0"/>
    </xf>
    <xf numFmtId="0" fontId="45" fillId="2" borderId="5" xfId="0" applyFont="1" applyFill="1" applyBorder="1" applyAlignment="1">
      <alignment horizontal="center" vertical="center" wrapText="1"/>
    </xf>
    <xf numFmtId="0" fontId="44" fillId="0" borderId="5" xfId="0" applyFont="1" applyBorder="1" applyAlignment="1">
      <alignment horizontal="justify" vertical="center" wrapText="1"/>
    </xf>
    <xf numFmtId="17" fontId="44" fillId="0" borderId="5" xfId="0" quotePrefix="1" applyNumberFormat="1" applyFont="1" applyBorder="1" applyAlignment="1">
      <alignment horizontal="center" vertical="center"/>
    </xf>
    <xf numFmtId="0" fontId="44" fillId="0" borderId="5" xfId="0" applyNumberFormat="1" applyFont="1" applyBorder="1" applyAlignment="1">
      <alignment horizontal="center" vertical="center"/>
    </xf>
    <xf numFmtId="0" fontId="45" fillId="0" borderId="5" xfId="0" applyFont="1" applyFill="1" applyBorder="1" applyAlignment="1">
      <alignment horizontal="center" vertical="center" wrapText="1"/>
    </xf>
    <xf numFmtId="0" fontId="45" fillId="0" borderId="5" xfId="0" quotePrefix="1" applyFont="1" applyBorder="1" applyAlignment="1" applyProtection="1">
      <alignment horizontal="center" vertical="center" wrapText="1" shrinkToFit="1"/>
      <protection locked="0"/>
    </xf>
    <xf numFmtId="0" fontId="45" fillId="0" borderId="5" xfId="0" applyFont="1" applyBorder="1" applyAlignment="1">
      <alignment horizontal="center" vertical="center" wrapText="1"/>
    </xf>
    <xf numFmtId="0" fontId="45" fillId="0" borderId="5" xfId="0" quotePrefix="1" applyFont="1" applyBorder="1" applyAlignment="1" applyProtection="1">
      <alignment horizontal="center" vertical="center" wrapText="1"/>
      <protection locked="0"/>
    </xf>
    <xf numFmtId="0" fontId="45" fillId="0" borderId="5" xfId="0" applyFont="1" applyFill="1" applyBorder="1" applyAlignment="1" applyProtection="1">
      <alignment horizontal="center" vertical="center" wrapText="1" shrinkToFit="1"/>
      <protection locked="0"/>
    </xf>
    <xf numFmtId="0" fontId="44" fillId="0" borderId="5" xfId="0" applyFont="1" applyBorder="1" applyAlignment="1">
      <alignment horizontal="left" vertical="center" wrapText="1"/>
    </xf>
    <xf numFmtId="0" fontId="45" fillId="0" borderId="5" xfId="0" applyFont="1" applyBorder="1" applyAlignment="1">
      <alignment horizontal="left" vertical="center" wrapText="1"/>
    </xf>
    <xf numFmtId="0" fontId="45" fillId="0" borderId="5" xfId="0" applyFont="1" applyBorder="1" applyAlignment="1" applyProtection="1">
      <alignment horizontal="center" vertical="center" wrapText="1" shrinkToFit="1"/>
      <protection locked="0"/>
    </xf>
    <xf numFmtId="0" fontId="45" fillId="0" borderId="5" xfId="0" quotePrefix="1" applyFont="1" applyBorder="1" applyAlignment="1" applyProtection="1">
      <alignment horizontal="left" vertical="center" wrapText="1"/>
      <protection locked="0"/>
    </xf>
    <xf numFmtId="0" fontId="45" fillId="0" borderId="5"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protection locked="0"/>
    </xf>
    <xf numFmtId="0" fontId="37" fillId="22" borderId="5" xfId="0" applyFont="1" applyFill="1" applyBorder="1" applyAlignment="1">
      <alignment horizontal="center" vertical="center" wrapText="1"/>
    </xf>
    <xf numFmtId="0" fontId="44" fillId="2" borderId="5" xfId="0" applyFont="1" applyFill="1" applyBorder="1" applyAlignment="1">
      <alignment horizontal="left" vertical="center" wrapText="1"/>
    </xf>
    <xf numFmtId="0" fontId="40" fillId="22" borderId="5" xfId="0" applyFont="1" applyFill="1" applyBorder="1" applyAlignment="1">
      <alignment horizontal="center" vertical="center" wrapText="1"/>
    </xf>
    <xf numFmtId="0" fontId="43" fillId="22" borderId="5" xfId="0" applyFont="1" applyFill="1" applyBorder="1" applyAlignment="1">
      <alignment horizontal="center" vertical="center" wrapText="1"/>
    </xf>
    <xf numFmtId="0" fontId="41" fillId="22" borderId="5" xfId="0" applyFont="1" applyFill="1" applyBorder="1" applyAlignment="1">
      <alignment horizontal="center" vertical="center" wrapText="1"/>
    </xf>
    <xf numFmtId="0" fontId="34" fillId="0" borderId="5" xfId="0" applyFont="1" applyBorder="1" applyAlignment="1">
      <alignment horizontal="center" vertical="center"/>
    </xf>
    <xf numFmtId="0" fontId="40" fillId="16" borderId="9" xfId="0" applyFont="1" applyFill="1" applyBorder="1" applyAlignment="1">
      <alignment horizontal="center" vertical="center"/>
    </xf>
    <xf numFmtId="0" fontId="40" fillId="16" borderId="10" xfId="0" applyFont="1" applyFill="1" applyBorder="1" applyAlignment="1">
      <alignment horizontal="center" vertical="center"/>
    </xf>
    <xf numFmtId="0" fontId="37" fillId="17" borderId="10" xfId="0" applyFont="1" applyFill="1" applyBorder="1" applyAlignment="1">
      <alignment horizontal="center" vertical="center"/>
    </xf>
    <xf numFmtId="0" fontId="37" fillId="17" borderId="11" xfId="0" applyFont="1" applyFill="1" applyBorder="1" applyAlignment="1">
      <alignment horizontal="center" vertical="center"/>
    </xf>
    <xf numFmtId="0" fontId="37" fillId="19" borderId="9" xfId="0" applyFont="1" applyFill="1" applyBorder="1" applyAlignment="1">
      <alignment horizontal="center" vertical="center" wrapText="1"/>
    </xf>
    <xf numFmtId="0" fontId="37" fillId="19" borderId="10" xfId="0" applyFont="1" applyFill="1" applyBorder="1" applyAlignment="1">
      <alignment horizontal="center" vertical="center" wrapText="1"/>
    </xf>
    <xf numFmtId="0" fontId="37" fillId="20" borderId="5" xfId="0" applyFont="1" applyFill="1" applyBorder="1" applyAlignment="1">
      <alignment horizontal="center" vertical="center"/>
    </xf>
    <xf numFmtId="0" fontId="37" fillId="21" borderId="5" xfId="0" applyFont="1" applyFill="1" applyBorder="1" applyAlignment="1">
      <alignment horizontal="center" vertical="center"/>
    </xf>
    <xf numFmtId="0" fontId="34" fillId="0" borderId="5" xfId="0" applyFont="1" applyBorder="1" applyAlignment="1">
      <alignment horizontal="center" vertical="center" wrapText="1"/>
    </xf>
    <xf numFmtId="0" fontId="34" fillId="0" borderId="5" xfId="0" applyFont="1" applyBorder="1" applyAlignment="1">
      <alignment horizontal="left"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41" fillId="18" borderId="9" xfId="0" applyFont="1" applyFill="1" applyBorder="1" applyAlignment="1">
      <alignment horizontal="center" vertical="center" wrapText="1"/>
    </xf>
    <xf numFmtId="0" fontId="41" fillId="18" borderId="10" xfId="0" applyFont="1" applyFill="1" applyBorder="1" applyAlignment="1">
      <alignment horizontal="center" vertical="center" wrapText="1"/>
    </xf>
    <xf numFmtId="0" fontId="41" fillId="18" borderId="11" xfId="0" applyFont="1" applyFill="1" applyBorder="1" applyAlignment="1">
      <alignment horizontal="center" vertical="center" wrapText="1"/>
    </xf>
    <xf numFmtId="0" fontId="43" fillId="23" borderId="5" xfId="0" applyFont="1" applyFill="1" applyBorder="1" applyAlignment="1">
      <alignment horizontal="center" vertical="center" wrapText="1"/>
    </xf>
    <xf numFmtId="0" fontId="41" fillId="23" borderId="5" xfId="0" applyFont="1" applyFill="1" applyBorder="1" applyAlignment="1">
      <alignment horizontal="center" vertical="center" wrapText="1"/>
    </xf>
    <xf numFmtId="0" fontId="45" fillId="2" borderId="5" xfId="0" applyFont="1" applyFill="1" applyBorder="1" applyAlignment="1">
      <alignment horizontal="justify" vertical="center" wrapText="1"/>
    </xf>
    <xf numFmtId="0" fontId="45" fillId="0" borderId="5" xfId="0" quotePrefix="1" applyFont="1" applyFill="1" applyBorder="1" applyAlignment="1" applyProtection="1">
      <alignment horizontal="center" vertical="center" wrapText="1" shrinkToFit="1"/>
      <protection locked="0"/>
    </xf>
    <xf numFmtId="0" fontId="3" fillId="14" borderId="5" xfId="1" applyFont="1" applyFill="1" applyBorder="1" applyAlignment="1" applyProtection="1">
      <alignment horizontal="center" vertical="center" wrapText="1"/>
    </xf>
    <xf numFmtId="0" fontId="37" fillId="24" borderId="5" xfId="0" applyFont="1" applyFill="1" applyBorder="1" applyAlignment="1">
      <alignment horizontal="center" vertical="center" wrapText="1"/>
    </xf>
    <xf numFmtId="0" fontId="0" fillId="0" borderId="5" xfId="0" applyBorder="1" applyAlignment="1">
      <alignment horizontal="center"/>
    </xf>
    <xf numFmtId="0" fontId="5" fillId="14" borderId="5" xfId="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xf>
    <xf numFmtId="0" fontId="0" fillId="0" borderId="12" xfId="0" applyBorder="1" applyAlignment="1">
      <alignment horizontal="center" vertical="center"/>
    </xf>
    <xf numFmtId="0" fontId="37" fillId="17" borderId="10" xfId="0" applyFont="1" applyFill="1" applyBorder="1" applyAlignment="1">
      <alignment horizontal="center" vertical="center" wrapText="1"/>
    </xf>
    <xf numFmtId="0" fontId="37" fillId="17" borderId="11" xfId="0" applyFont="1" applyFill="1"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1" xfId="0" applyBorder="1" applyAlignment="1">
      <alignment horizontal="left" vertical="center" wrapText="1"/>
    </xf>
    <xf numFmtId="0" fontId="0" fillId="0" borderId="12"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0" fillId="0" borderId="1" xfId="0" quotePrefix="1" applyBorder="1" applyAlignment="1">
      <alignment horizontal="center" vertical="center" wrapText="1"/>
    </xf>
    <xf numFmtId="0" fontId="0" fillId="0" borderId="12" xfId="0" quotePrefix="1" applyBorder="1" applyAlignment="1">
      <alignment horizontal="center" vertical="center" wrapText="1"/>
    </xf>
    <xf numFmtId="0" fontId="0" fillId="0" borderId="8" xfId="0" quotePrefix="1" applyBorder="1" applyAlignment="1">
      <alignment horizontal="center" vertical="center" wrapText="1"/>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8" xfId="0" applyFill="1" applyBorder="1" applyAlignment="1">
      <alignment horizontal="center" vertical="center" wrapText="1"/>
    </xf>
    <xf numFmtId="0" fontId="47" fillId="0" borderId="1" xfId="0" applyFont="1" applyBorder="1" applyAlignment="1">
      <alignment horizontal="center" vertical="center"/>
    </xf>
    <xf numFmtId="0" fontId="47" fillId="0" borderId="8" xfId="0" applyFont="1" applyBorder="1" applyAlignment="1">
      <alignment horizontal="center" vertical="center"/>
    </xf>
    <xf numFmtId="0" fontId="28" fillId="12" borderId="31" xfId="0" applyFont="1" applyFill="1" applyBorder="1" applyAlignment="1">
      <alignment horizontal="center" vertical="center" wrapText="1"/>
    </xf>
    <xf numFmtId="0" fontId="28" fillId="12" borderId="28" xfId="0" applyFont="1" applyFill="1" applyBorder="1" applyAlignment="1">
      <alignment horizontal="center" vertical="center" wrapText="1"/>
    </xf>
    <xf numFmtId="0" fontId="28" fillId="12" borderId="34" xfId="0" applyFont="1" applyFill="1" applyBorder="1" applyAlignment="1">
      <alignment horizontal="center" vertical="center" wrapText="1"/>
    </xf>
    <xf numFmtId="0" fontId="30" fillId="12" borderId="26" xfId="0" applyFont="1" applyFill="1" applyBorder="1" applyAlignment="1">
      <alignment horizontal="center" vertical="center" wrapText="1"/>
    </xf>
    <xf numFmtId="0" fontId="30" fillId="12" borderId="28" xfId="0" applyFont="1" applyFill="1" applyBorder="1" applyAlignment="1">
      <alignment horizontal="center" vertical="center" wrapText="1"/>
    </xf>
    <xf numFmtId="0" fontId="28" fillId="12" borderId="30" xfId="0" applyFont="1" applyFill="1" applyBorder="1" applyAlignment="1">
      <alignment horizontal="center" vertical="center" wrapText="1"/>
    </xf>
    <xf numFmtId="0" fontId="28" fillId="12" borderId="25" xfId="0" applyFont="1" applyFill="1" applyBorder="1" applyAlignment="1">
      <alignment horizontal="center" vertical="center" wrapText="1"/>
    </xf>
    <xf numFmtId="0" fontId="28" fillId="12" borderId="37" xfId="0" applyFont="1" applyFill="1" applyBorder="1" applyAlignment="1">
      <alignment horizontal="center" vertical="center" wrapText="1"/>
    </xf>
    <xf numFmtId="0" fontId="27" fillId="10" borderId="31"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42" xfId="0" applyFont="1" applyFill="1" applyBorder="1" applyAlignment="1">
      <alignment horizontal="center" vertical="center" wrapText="1"/>
    </xf>
    <xf numFmtId="0" fontId="27" fillId="10" borderId="7"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27"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4" fillId="13" borderId="5"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7" fillId="9" borderId="22" xfId="0" applyFont="1" applyFill="1" applyBorder="1" applyAlignment="1">
      <alignment horizontal="center" vertical="center" wrapText="1"/>
    </xf>
    <xf numFmtId="0" fontId="27" fillId="9" borderId="23" xfId="0" applyFont="1" applyFill="1" applyBorder="1" applyAlignment="1">
      <alignment horizontal="center" vertical="center" wrapText="1"/>
    </xf>
    <xf numFmtId="0" fontId="27" fillId="9" borderId="18" xfId="0" applyFont="1" applyFill="1" applyBorder="1" applyAlignment="1">
      <alignment horizontal="center" vertical="center" wrapText="1"/>
    </xf>
    <xf numFmtId="0" fontId="27" fillId="9" borderId="24" xfId="0" applyFont="1" applyFill="1" applyBorder="1" applyAlignment="1">
      <alignment horizontal="center" vertical="center" wrapText="1"/>
    </xf>
    <xf numFmtId="0" fontId="27" fillId="10" borderId="25" xfId="0" applyFont="1" applyFill="1" applyBorder="1" applyAlignment="1">
      <alignment horizontal="center" vertical="center"/>
    </xf>
    <xf numFmtId="0" fontId="27" fillId="10" borderId="26" xfId="0" applyFont="1" applyFill="1" applyBorder="1" applyAlignment="1">
      <alignment horizontal="center" vertical="center"/>
    </xf>
    <xf numFmtId="0" fontId="27" fillId="10" borderId="13" xfId="0" applyFont="1" applyFill="1" applyBorder="1" applyAlignment="1">
      <alignment horizontal="center" vertical="center"/>
    </xf>
    <xf numFmtId="0" fontId="27" fillId="10" borderId="14" xfId="0" applyFont="1" applyFill="1" applyBorder="1" applyAlignment="1">
      <alignment horizontal="center" vertical="center"/>
    </xf>
    <xf numFmtId="0" fontId="27" fillId="10" borderId="15" xfId="0" applyFont="1" applyFill="1" applyBorder="1" applyAlignment="1">
      <alignment horizontal="center" vertical="center"/>
    </xf>
    <xf numFmtId="0" fontId="27" fillId="10" borderId="7" xfId="0" applyFont="1" applyFill="1" applyBorder="1" applyAlignment="1">
      <alignment horizontal="center" vertical="center"/>
    </xf>
    <xf numFmtId="0" fontId="27" fillId="10" borderId="12" xfId="0" applyFont="1" applyFill="1" applyBorder="1" applyAlignment="1">
      <alignment horizontal="center" vertical="center" wrapText="1"/>
    </xf>
    <xf numFmtId="0" fontId="27" fillId="10" borderId="12" xfId="0" applyFont="1" applyFill="1" applyBorder="1" applyAlignment="1">
      <alignment horizontal="center" vertical="center"/>
    </xf>
    <xf numFmtId="0" fontId="27" fillId="10" borderId="8" xfId="0" applyFont="1" applyFill="1" applyBorder="1" applyAlignment="1">
      <alignment horizontal="center" vertical="center"/>
    </xf>
    <xf numFmtId="0" fontId="27" fillId="10" borderId="13" xfId="0" applyFont="1" applyFill="1" applyBorder="1" applyAlignment="1">
      <alignment horizontal="center" vertical="center" wrapText="1"/>
    </xf>
    <xf numFmtId="0" fontId="27" fillId="10" borderId="15"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6" fillId="0" borderId="5" xfId="0" quotePrefix="1"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5" borderId="1" xfId="0" quotePrefix="1" applyFont="1" applyFill="1" applyBorder="1" applyAlignment="1" applyProtection="1">
      <alignment horizontal="justify" vertical="center" wrapText="1" shrinkToFit="1"/>
      <protection locked="0"/>
    </xf>
    <xf numFmtId="0" fontId="0" fillId="5" borderId="12" xfId="0" applyFill="1" applyBorder="1" applyAlignment="1" applyProtection="1">
      <alignment horizontal="justify" vertical="center" wrapText="1" shrinkToFit="1"/>
      <protection locked="0"/>
    </xf>
    <xf numFmtId="0" fontId="0" fillId="5" borderId="8" xfId="0" applyFill="1" applyBorder="1" applyAlignment="1" applyProtection="1">
      <alignment horizontal="justify" vertical="center" wrapText="1" shrinkToFit="1"/>
      <protection locked="0"/>
    </xf>
    <xf numFmtId="0" fontId="6" fillId="0" borderId="5" xfId="0" quotePrefix="1" applyFont="1" applyBorder="1" applyAlignment="1" applyProtection="1">
      <alignment horizontal="center" vertical="center" wrapText="1"/>
      <protection locked="0"/>
    </xf>
    <xf numFmtId="0" fontId="6" fillId="0" borderId="5" xfId="0" applyFont="1" applyBorder="1" applyAlignment="1" applyProtection="1">
      <alignment horizontal="center" vertical="center"/>
      <protection locked="0"/>
    </xf>
    <xf numFmtId="0" fontId="5" fillId="0" borderId="3" xfId="0" applyFont="1" applyBorder="1" applyAlignment="1">
      <alignment horizontal="right"/>
    </xf>
    <xf numFmtId="0" fontId="5" fillId="0" borderId="4" xfId="0" applyFont="1" applyBorder="1" applyAlignment="1">
      <alignment horizontal="right"/>
    </xf>
    <xf numFmtId="0" fontId="7" fillId="8" borderId="1"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shrinkToFit="1"/>
      <protection locked="0"/>
    </xf>
    <xf numFmtId="0" fontId="6" fillId="0" borderId="12" xfId="0" applyFont="1" applyBorder="1" applyAlignment="1" applyProtection="1">
      <alignment horizontal="center" vertical="center" wrapText="1" shrinkToFit="1"/>
      <protection locked="0"/>
    </xf>
    <xf numFmtId="0" fontId="6" fillId="0" borderId="8"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shrinkToFit="1"/>
      <protection locked="0"/>
    </xf>
    <xf numFmtId="0" fontId="6" fillId="5" borderId="12" xfId="0" applyFont="1" applyFill="1" applyBorder="1" applyAlignment="1" applyProtection="1">
      <alignment horizontal="center" vertical="center" wrapText="1" shrinkToFit="1"/>
      <protection locked="0"/>
    </xf>
    <xf numFmtId="0" fontId="6" fillId="5" borderId="8" xfId="0" applyFont="1" applyFill="1" applyBorder="1" applyAlignment="1" applyProtection="1">
      <alignment horizontal="center" vertical="center" wrapText="1" shrinkToFit="1"/>
      <protection locked="0"/>
    </xf>
    <xf numFmtId="0" fontId="6" fillId="0" borderId="12" xfId="0" applyFont="1" applyBorder="1" applyAlignment="1" applyProtection="1">
      <alignment horizontal="center" vertical="center"/>
      <protection locked="0"/>
    </xf>
    <xf numFmtId="0" fontId="6" fillId="0" borderId="5" xfId="0" quotePrefix="1" applyFont="1" applyFill="1" applyBorder="1" applyAlignment="1" applyProtection="1">
      <alignment horizontal="center" vertical="center" wrapText="1"/>
      <protection locked="0"/>
    </xf>
    <xf numFmtId="0" fontId="6" fillId="5" borderId="1" xfId="0" quotePrefix="1" applyFont="1" applyFill="1" applyBorder="1" applyAlignment="1" applyProtection="1">
      <alignment horizontal="justify" vertical="center" wrapText="1"/>
      <protection locked="0"/>
    </xf>
    <xf numFmtId="0" fontId="0" fillId="5" borderId="8" xfId="0" applyFill="1" applyBorder="1" applyAlignment="1" applyProtection="1">
      <alignment horizontal="justify" vertical="center" wrapText="1"/>
      <protection locked="0"/>
    </xf>
    <xf numFmtId="0" fontId="6" fillId="0" borderId="1" xfId="0" quotePrefix="1" applyFont="1" applyBorder="1" applyAlignment="1" applyProtection="1">
      <alignment horizontal="center" vertical="center" wrapText="1"/>
      <protection locked="0"/>
    </xf>
    <xf numFmtId="0" fontId="6" fillId="0" borderId="8" xfId="0" applyFont="1" applyBorder="1" applyAlignment="1" applyProtection="1">
      <alignment horizontal="center" vertical="center"/>
      <protection locked="0"/>
    </xf>
    <xf numFmtId="0" fontId="6" fillId="0" borderId="8" xfId="0" quotePrefix="1" applyFont="1" applyBorder="1" applyAlignment="1" applyProtection="1">
      <alignment horizontal="center" vertical="center" wrapText="1"/>
      <protection locked="0"/>
    </xf>
    <xf numFmtId="0" fontId="6" fillId="5" borderId="8" xfId="0" quotePrefix="1" applyFont="1" applyFill="1" applyBorder="1" applyAlignment="1" applyProtection="1">
      <alignment horizontal="justify" vertical="center" wrapText="1"/>
      <protection locked="0"/>
    </xf>
    <xf numFmtId="0" fontId="6" fillId="0" borderId="12" xfId="0" quotePrefix="1" applyFont="1" applyBorder="1" applyAlignment="1" applyProtection="1">
      <alignment horizontal="center" vertical="center" wrapText="1"/>
      <protection locked="0"/>
    </xf>
    <xf numFmtId="0" fontId="6" fillId="0" borderId="1" xfId="0" quotePrefix="1" applyFont="1" applyFill="1" applyBorder="1" applyAlignment="1" applyProtection="1">
      <alignment horizontal="center" vertical="center" wrapText="1"/>
      <protection locked="0"/>
    </xf>
    <xf numFmtId="0" fontId="6" fillId="0" borderId="12" xfId="0" quotePrefix="1" applyFont="1" applyFill="1" applyBorder="1" applyAlignment="1" applyProtection="1">
      <alignment horizontal="center" vertical="center" wrapText="1"/>
      <protection locked="0"/>
    </xf>
    <xf numFmtId="0" fontId="6" fillId="0" borderId="8" xfId="0" quotePrefix="1"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top" wrapText="1"/>
      <protection locked="0"/>
    </xf>
    <xf numFmtId="0" fontId="6" fillId="0" borderId="5" xfId="0" applyFont="1" applyBorder="1" applyAlignment="1" applyProtection="1">
      <alignment horizontal="center" vertical="top"/>
      <protection locked="0"/>
    </xf>
    <xf numFmtId="0" fontId="6" fillId="5" borderId="1" xfId="0" applyFont="1" applyFill="1" applyBorder="1" applyAlignment="1" applyProtection="1">
      <alignment horizontal="justify" vertical="top" wrapText="1" shrinkToFit="1"/>
      <protection locked="0"/>
    </xf>
    <xf numFmtId="0" fontId="0" fillId="5" borderId="12" xfId="0" applyFill="1" applyBorder="1" applyAlignment="1" applyProtection="1">
      <alignment horizontal="justify" vertical="top" wrapText="1" shrinkToFit="1"/>
      <protection locked="0"/>
    </xf>
    <xf numFmtId="0" fontId="6" fillId="0" borderId="1" xfId="0" quotePrefix="1" applyFont="1" applyBorder="1" applyAlignment="1" applyProtection="1">
      <alignment horizontal="center" vertical="top" wrapText="1"/>
      <protection locked="0"/>
    </xf>
    <xf numFmtId="0" fontId="6" fillId="0" borderId="12" xfId="0" quotePrefix="1" applyFont="1" applyBorder="1" applyAlignment="1" applyProtection="1">
      <alignment horizontal="center" vertical="top" wrapText="1"/>
      <protection locked="0"/>
    </xf>
    <xf numFmtId="0" fontId="7" fillId="8" borderId="5" xfId="0" applyFont="1" applyFill="1" applyBorder="1" applyAlignment="1">
      <alignment horizontal="center" vertical="center"/>
    </xf>
    <xf numFmtId="0" fontId="7" fillId="8" borderId="5" xfId="0" applyFont="1" applyFill="1" applyBorder="1" applyAlignment="1">
      <alignment horizontal="center" vertical="center" wrapText="1"/>
    </xf>
    <xf numFmtId="0" fontId="5" fillId="5" borderId="1" xfId="0" applyFont="1" applyFill="1" applyBorder="1" applyAlignment="1">
      <alignment horizontal="center" vertical="center" textRotation="90" wrapText="1" shrinkToFit="1"/>
    </xf>
    <xf numFmtId="0" fontId="5" fillId="5" borderId="8" xfId="0" applyFont="1" applyFill="1" applyBorder="1" applyAlignment="1">
      <alignment horizontal="center" vertical="center" textRotation="90" wrapText="1" shrinkToFit="1"/>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11" xfId="0" applyFont="1" applyFill="1" applyBorder="1" applyAlignment="1">
      <alignment horizontal="center"/>
    </xf>
    <xf numFmtId="0" fontId="5" fillId="5" borderId="9" xfId="0" applyFont="1" applyFill="1" applyBorder="1" applyAlignment="1">
      <alignment horizontal="center" vertical="center" wrapText="1" shrinkToFit="1"/>
    </xf>
    <xf numFmtId="0" fontId="0" fillId="5" borderId="10" xfId="0" applyFill="1" applyBorder="1" applyAlignment="1">
      <alignment horizontal="center" vertical="center" wrapText="1" shrinkToFit="1"/>
    </xf>
    <xf numFmtId="0" fontId="0" fillId="5" borderId="11" xfId="0" applyFill="1" applyBorder="1" applyAlignment="1">
      <alignment horizontal="center" vertical="center" wrapText="1" shrinkToFit="1"/>
    </xf>
    <xf numFmtId="0" fontId="7" fillId="8" borderId="5" xfId="0" quotePrefix="1" applyFont="1" applyFill="1" applyBorder="1" applyAlignment="1">
      <alignment horizontal="center" vertical="center" wrapText="1"/>
    </xf>
    <xf numFmtId="0" fontId="5" fillId="5" borderId="1" xfId="0" applyFont="1" applyFill="1" applyBorder="1" applyAlignment="1">
      <alignment horizontal="center" vertical="center" wrapText="1" shrinkToFit="1"/>
    </xf>
    <xf numFmtId="0" fontId="5" fillId="5" borderId="8" xfId="0" applyFont="1" applyFill="1" applyBorder="1" applyAlignment="1">
      <alignment horizontal="center" vertical="center" wrapText="1" shrinkToFit="1"/>
    </xf>
    <xf numFmtId="0" fontId="7" fillId="0" borderId="5" xfId="0" quotePrefix="1" applyFont="1" applyBorder="1" applyAlignment="1">
      <alignment horizontal="center" vertical="center" wrapText="1"/>
    </xf>
    <xf numFmtId="0" fontId="7" fillId="0" borderId="5" xfId="0" applyFont="1" applyBorder="1" applyAlignment="1">
      <alignment horizontal="center" vertical="center" wrapText="1"/>
    </xf>
    <xf numFmtId="0" fontId="7" fillId="5" borderId="5" xfId="0" quotePrefix="1"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5" borderId="5" xfId="0" applyFont="1" applyFill="1" applyBorder="1" applyAlignment="1">
      <alignment horizontal="center" vertical="center"/>
    </xf>
    <xf numFmtId="0" fontId="7" fillId="5" borderId="9" xfId="0" applyFont="1" applyFill="1" applyBorder="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5" fillId="0" borderId="9" xfId="0" quotePrefix="1" applyFont="1" applyBorder="1" applyAlignment="1">
      <alignment horizontal="justify" vertical="center" wrapText="1"/>
    </xf>
    <xf numFmtId="0" fontId="5" fillId="0" borderId="10" xfId="0" quotePrefix="1" applyFont="1" applyBorder="1" applyAlignment="1">
      <alignment horizontal="justify" vertical="center" wrapText="1"/>
    </xf>
    <xf numFmtId="0" fontId="5" fillId="0" borderId="11" xfId="0" quotePrefix="1" applyFont="1" applyBorder="1" applyAlignment="1">
      <alignment horizontal="justify" vertical="center" wrapTex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0" fillId="0" borderId="4" xfId="0" applyBorder="1" applyAlignment="1">
      <alignment horizontal="center" wrapText="1"/>
    </xf>
    <xf numFmtId="0" fontId="4" fillId="0" borderId="1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0" fillId="0" borderId="7" xfId="0" applyBorder="1" applyAlignment="1">
      <alignment horizontal="center" wrapText="1"/>
    </xf>
    <xf numFmtId="0" fontId="7" fillId="5" borderId="9" xfId="0" applyFont="1" applyFill="1" applyBorder="1" applyAlignment="1">
      <alignment horizontal="center" wrapText="1" shrinkToFit="1"/>
    </xf>
    <xf numFmtId="0" fontId="10" fillId="5" borderId="10" xfId="0" applyFont="1" applyFill="1" applyBorder="1" applyAlignment="1">
      <alignment horizontal="center" wrapText="1" shrinkToFit="1"/>
    </xf>
    <xf numFmtId="0" fontId="10" fillId="5" borderId="11" xfId="0" applyFont="1" applyFill="1" applyBorder="1" applyAlignment="1">
      <alignment horizontal="center" wrapText="1" shrinkToFit="1"/>
    </xf>
    <xf numFmtId="0" fontId="7" fillId="8" borderId="2" xfId="0" applyFont="1" applyFill="1" applyBorder="1" applyAlignment="1">
      <alignment horizontal="center" vertical="center" wrapText="1" shrinkToFit="1"/>
    </xf>
    <xf numFmtId="0" fontId="10" fillId="8" borderId="3" xfId="0" applyFont="1" applyFill="1" applyBorder="1" applyAlignment="1">
      <alignment horizontal="center" vertical="center" wrapText="1" shrinkToFit="1"/>
    </xf>
    <xf numFmtId="0" fontId="10" fillId="8" borderId="4" xfId="0" applyFont="1" applyFill="1" applyBorder="1" applyAlignment="1">
      <alignment horizontal="center" vertical="center" wrapText="1" shrinkToFit="1"/>
    </xf>
    <xf numFmtId="0" fontId="0" fillId="8" borderId="15" xfId="0" applyFill="1" applyBorder="1" applyAlignment="1">
      <alignment horizontal="center" vertical="center" wrapText="1"/>
    </xf>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0" fontId="5" fillId="5" borderId="9" xfId="0" applyFont="1" applyFill="1" applyBorder="1" applyAlignment="1">
      <alignment horizontal="center" wrapText="1" shrinkToFit="1"/>
    </xf>
    <xf numFmtId="0" fontId="5" fillId="5" borderId="10" xfId="0" applyFont="1" applyFill="1" applyBorder="1" applyAlignment="1">
      <alignment horizontal="center" wrapText="1" shrinkToFit="1"/>
    </xf>
    <xf numFmtId="0" fontId="0" fillId="5" borderId="10" xfId="0" applyFill="1" applyBorder="1" applyAlignment="1">
      <alignment horizontal="center" wrapText="1" shrinkToFit="1"/>
    </xf>
    <xf numFmtId="0" fontId="0" fillId="5" borderId="11" xfId="0" applyFill="1" applyBorder="1" applyAlignment="1">
      <alignment horizontal="center" wrapText="1" shrinkToFit="1"/>
    </xf>
    <xf numFmtId="0" fontId="9" fillId="0" borderId="2" xfId="1" quotePrefix="1" applyFont="1" applyBorder="1" applyAlignment="1">
      <alignment horizontal="center" wrapText="1"/>
    </xf>
    <xf numFmtId="0" fontId="9" fillId="0" borderId="3" xfId="1" quotePrefix="1" applyFont="1" applyBorder="1" applyAlignment="1">
      <alignment horizontal="center" wrapText="1"/>
    </xf>
    <xf numFmtId="0" fontId="9" fillId="0" borderId="4" xfId="1" quotePrefix="1" applyFont="1" applyBorder="1" applyAlignment="1">
      <alignment horizontal="center" wrapText="1"/>
    </xf>
    <xf numFmtId="0" fontId="9" fillId="0" borderId="13" xfId="1" quotePrefix="1" applyFont="1" applyBorder="1" applyAlignment="1">
      <alignment horizontal="center" wrapText="1"/>
    </xf>
    <xf numFmtId="0" fontId="9" fillId="0" borderId="0" xfId="1" quotePrefix="1" applyFont="1" applyBorder="1" applyAlignment="1">
      <alignment horizontal="center" wrapText="1"/>
    </xf>
    <xf numFmtId="0" fontId="9" fillId="0" borderId="14" xfId="1" quotePrefix="1" applyFont="1" applyBorder="1" applyAlignment="1">
      <alignment horizontal="center" wrapText="1"/>
    </xf>
    <xf numFmtId="0" fontId="9" fillId="0" borderId="15" xfId="1" quotePrefix="1" applyFont="1" applyBorder="1" applyAlignment="1">
      <alignment horizontal="center" wrapText="1"/>
    </xf>
    <xf numFmtId="0" fontId="9" fillId="0" borderId="6" xfId="1" quotePrefix="1" applyFont="1" applyBorder="1" applyAlignment="1">
      <alignment horizontal="center" wrapText="1"/>
    </xf>
    <xf numFmtId="0" fontId="9" fillId="0" borderId="7" xfId="1" quotePrefix="1" applyFont="1" applyBorder="1" applyAlignment="1">
      <alignment horizontal="center" wrapText="1"/>
    </xf>
    <xf numFmtId="0" fontId="3" fillId="0" borderId="9" xfId="0" quotePrefix="1" applyFont="1" applyBorder="1" applyAlignment="1">
      <alignment horizontal="center" vertical="center"/>
    </xf>
    <xf numFmtId="0" fontId="3" fillId="0" borderId="10" xfId="0" quotePrefix="1" applyFont="1" applyBorder="1" applyAlignment="1">
      <alignment horizontal="center" vertical="center"/>
    </xf>
    <xf numFmtId="0" fontId="3" fillId="0" borderId="11" xfId="0" quotePrefix="1" applyFont="1" applyBorder="1" applyAlignment="1">
      <alignment horizontal="center" vertical="center"/>
    </xf>
    <xf numFmtId="0" fontId="9" fillId="3" borderId="5" xfId="1" quotePrefix="1" applyFont="1" applyFill="1" applyBorder="1" applyAlignment="1">
      <alignment horizontal="left" vertical="center"/>
    </xf>
    <xf numFmtId="0" fontId="9" fillId="3" borderId="5" xfId="1" quotePrefix="1" applyFont="1" applyFill="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9" fillId="3" borderId="5" xfId="1" applyFont="1" applyFill="1" applyBorder="1" applyAlignment="1">
      <alignment vertical="center"/>
    </xf>
  </cellXfs>
  <cellStyles count="6">
    <cellStyle name="Hipervínculo" xfId="4" builtinId="8"/>
    <cellStyle name="Millares" xfId="3" builtinId="3"/>
    <cellStyle name="Millares 2" xfId="5"/>
    <cellStyle name="Normal" xfId="0" builtinId="0"/>
    <cellStyle name="Normal_Libro1" xfId="1"/>
    <cellStyle name="Porcentaje" xfId="2" builtinId="5"/>
  </cellStyles>
  <dxfs count="340">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FF00"/>
        </patternFill>
      </fill>
    </dxf>
    <dxf>
      <fill>
        <patternFill>
          <bgColor theme="9" tint="0.39994506668294322"/>
        </patternFill>
      </fill>
    </dxf>
    <dxf>
      <fill>
        <patternFill>
          <bgColor rgb="FFFF0000"/>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99FF99"/>
      <color rgb="FFCC99FF"/>
      <color rgb="FFA7FFEE"/>
      <color rgb="FFE2C5FF"/>
      <color rgb="FFD9F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62681</xdr:colOff>
      <xdr:row>2</xdr:row>
      <xdr:rowOff>112325</xdr:rowOff>
    </xdr:from>
    <xdr:to>
      <xdr:col>10</xdr:col>
      <xdr:colOff>233448</xdr:colOff>
      <xdr:row>2</xdr:row>
      <xdr:rowOff>830013</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63563" y="470913"/>
          <a:ext cx="753473" cy="71768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304801</xdr:colOff>
      <xdr:row>0</xdr:row>
      <xdr:rowOff>90208</xdr:rowOff>
    </xdr:from>
    <xdr:to>
      <xdr:col>7</xdr:col>
      <xdr:colOff>695325</xdr:colOff>
      <xdr:row>8</xdr:row>
      <xdr:rowOff>238198</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1" y="90208"/>
          <a:ext cx="885824" cy="96706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248772</xdr:colOff>
      <xdr:row>0</xdr:row>
      <xdr:rowOff>0</xdr:rowOff>
    </xdr:from>
    <xdr:to>
      <xdr:col>0</xdr:col>
      <xdr:colOff>491458</xdr:colOff>
      <xdr:row>6</xdr:row>
      <xdr:rowOff>176893</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772" y="0"/>
          <a:ext cx="242686" cy="36739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333375</xdr:colOff>
      <xdr:row>0</xdr:row>
      <xdr:rowOff>19051</xdr:rowOff>
    </xdr:from>
    <xdr:to>
      <xdr:col>1</xdr:col>
      <xdr:colOff>1085850</xdr:colOff>
      <xdr:row>2</xdr:row>
      <xdr:rowOff>190501</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9051"/>
          <a:ext cx="752475" cy="7810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Parra\AppData\Local\Microsoft\Windows\INetCache\Content.Outlook\F8GL4BH2\Riesgos%20Direccionamiento%202908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cavila\AppData\Local\Microsoft\Windows\INetCache\Content.Outlook\ULWX3H70\Mapa_Riesgos_SistemasSI_2019081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dcavila\AppData\Local\Microsoft\Windows\INetCache\Content.Outlook\ULWX3H70\Mapa_Riesgos_GD_0904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dministraci&#243;n%20de%20Riesgos/2019/14%20Matriz%20Riesgos%20Gesti&#243;n%20Financier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lan%20Anticorrupcion%20y%20Atenci&#243;n%20al%20Ciudadano/2018/Res.%200040-2018%20PAAC-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Parra\AppData\Local\Microsoft\Windows\INetCache\Content.Outlook\F8GL4BH2\Copia%20de%20formato%20%20comunicaciones%20riesgos%20corrupcion%20jul%2024%202019%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ministraci&#243;n%20de%20Riesgos/2019/Mapa_Riesgos_Gesntion%20Normativ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dministraci&#243;n%20de%20Riesgos/2019/Mapa_Riesgos_Elecciones%20de%20Servidor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dministraci&#243;n%20de%20Riesgos/2019/Mapa_Riesgos_Control%20Politic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BJRODRIGUEZ\Documents\Procesos\7-Atenci&#243;n%20al%20Ciudadano\riesgos%20c\Riesgo%20de%20corrupcion%20atencion%20al%20ciudadan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Parra\AppData\Local\Microsoft\Windows\INetCache\Content.Outlook\F8GL4BH2\formato%20GESTION%20DE%20TALENTO%20HUMA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Parra\AppData\Local\Microsoft\Windows\INetCache\Content.Outlook\F8GL4BH2\formato%20gesti&#243;n%20juridic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CParra\AppData\Local\Microsoft\Windows\INetCache\Content.Outlook\F8GL4BH2\formato%20GESTION%20DE%20RECURSOS%20FIS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
      <sheetName val="Seguimiento"/>
      <sheetName val="Mapa"/>
      <sheetName val="Impacto"/>
      <sheetName val="Control"/>
      <sheetName val="Def.Riesgo"/>
      <sheetName val="Medicion Riesgo"/>
      <sheetName val="Valor-Riesgo"/>
      <sheetName val="Aspectos"/>
    </sheetNames>
    <sheetDataSet>
      <sheetData sheetId="0">
        <row r="36">
          <cell r="I36">
            <v>0.73153846153846147</v>
          </cell>
        </row>
      </sheetData>
      <sheetData sheetId="1">
        <row r="20">
          <cell r="F20">
            <v>0.16153846153846155</v>
          </cell>
        </row>
      </sheetData>
      <sheetData sheetId="2"/>
      <sheetData sheetId="3">
        <row r="25">
          <cell r="C25">
            <v>20</v>
          </cell>
        </row>
        <row r="59">
          <cell r="C59">
            <v>20</v>
          </cell>
        </row>
        <row r="93">
          <cell r="C93">
            <v>20</v>
          </cell>
        </row>
        <row r="127">
          <cell r="C127">
            <v>10</v>
          </cell>
        </row>
        <row r="161">
          <cell r="C161">
            <v>20</v>
          </cell>
        </row>
        <row r="195">
          <cell r="C195">
            <v>10</v>
          </cell>
        </row>
        <row r="229">
          <cell r="C229">
            <v>10</v>
          </cell>
        </row>
        <row r="263">
          <cell r="C263">
            <v>10</v>
          </cell>
        </row>
        <row r="297">
          <cell r="C297">
            <v>20</v>
          </cell>
        </row>
        <row r="331">
          <cell r="C331">
            <v>10</v>
          </cell>
        </row>
        <row r="365">
          <cell r="C365">
            <v>10</v>
          </cell>
        </row>
        <row r="399">
          <cell r="C399">
            <v>10</v>
          </cell>
        </row>
        <row r="433">
          <cell r="C433">
            <v>10</v>
          </cell>
        </row>
        <row r="467">
          <cell r="C467">
            <v>20</v>
          </cell>
        </row>
        <row r="501">
          <cell r="C501">
            <v>20</v>
          </cell>
        </row>
        <row r="535">
          <cell r="C535">
            <v>20</v>
          </cell>
        </row>
        <row r="569">
          <cell r="C569">
            <v>10</v>
          </cell>
        </row>
        <row r="603">
          <cell r="C603">
            <v>10</v>
          </cell>
        </row>
        <row r="637">
          <cell r="C637">
            <v>10</v>
          </cell>
        </row>
        <row r="671">
          <cell r="C671">
            <v>10</v>
          </cell>
        </row>
        <row r="705">
          <cell r="C705">
            <v>10</v>
          </cell>
        </row>
        <row r="739">
          <cell r="C739">
            <v>10</v>
          </cell>
        </row>
        <row r="773">
          <cell r="C773">
            <v>10</v>
          </cell>
        </row>
        <row r="807">
          <cell r="C807">
            <v>5</v>
          </cell>
        </row>
        <row r="841">
          <cell r="C841">
            <v>20</v>
          </cell>
        </row>
        <row r="909">
          <cell r="C909">
            <v>20</v>
          </cell>
        </row>
        <row r="943">
          <cell r="C943">
            <v>10</v>
          </cell>
        </row>
        <row r="977">
          <cell r="C977">
            <v>10</v>
          </cell>
        </row>
        <row r="1011">
          <cell r="C1011">
            <v>20</v>
          </cell>
        </row>
        <row r="1045">
          <cell r="C1045">
            <v>10</v>
          </cell>
        </row>
        <row r="1079">
          <cell r="C1079">
            <v>20</v>
          </cell>
        </row>
        <row r="1113">
          <cell r="C1113">
            <v>10</v>
          </cell>
        </row>
        <row r="1147">
          <cell r="C1147">
            <v>5</v>
          </cell>
        </row>
        <row r="1181">
          <cell r="C1181">
            <v>10</v>
          </cell>
        </row>
        <row r="1215">
          <cell r="C1215">
            <v>10</v>
          </cell>
        </row>
        <row r="1249">
          <cell r="C1249">
            <v>10</v>
          </cell>
        </row>
        <row r="1283">
          <cell r="C1283">
            <v>10</v>
          </cell>
        </row>
        <row r="1317">
          <cell r="C1317">
            <v>5</v>
          </cell>
        </row>
        <row r="1351">
          <cell r="C1351">
            <v>10</v>
          </cell>
        </row>
        <row r="1385">
          <cell r="C1385">
            <v>10</v>
          </cell>
        </row>
      </sheetData>
      <sheetData sheetId="4">
        <row r="4">
          <cell r="B4">
            <v>0</v>
          </cell>
          <cell r="C4">
            <v>0</v>
          </cell>
          <cell r="D4" t="str">
            <v>x</v>
          </cell>
          <cell r="H4">
            <v>85</v>
          </cell>
        </row>
        <row r="13">
          <cell r="B13">
            <v>0</v>
          </cell>
          <cell r="C13">
            <v>0</v>
          </cell>
          <cell r="D13" t="str">
            <v>x</v>
          </cell>
          <cell r="H13">
            <v>0</v>
          </cell>
        </row>
        <row r="22">
          <cell r="B22">
            <v>0</v>
          </cell>
          <cell r="C22">
            <v>0</v>
          </cell>
          <cell r="D22" t="str">
            <v>x</v>
          </cell>
          <cell r="H22">
            <v>0</v>
          </cell>
        </row>
        <row r="31">
          <cell r="B31">
            <v>0</v>
          </cell>
          <cell r="C31">
            <v>0</v>
          </cell>
          <cell r="D31" t="str">
            <v>x</v>
          </cell>
          <cell r="H31">
            <v>0</v>
          </cell>
        </row>
        <row r="40">
          <cell r="B40">
            <v>0</v>
          </cell>
          <cell r="C40">
            <v>0</v>
          </cell>
          <cell r="D40" t="str">
            <v>x</v>
          </cell>
          <cell r="H40">
            <v>6</v>
          </cell>
        </row>
        <row r="49">
          <cell r="B49">
            <v>0</v>
          </cell>
          <cell r="C49">
            <v>0</v>
          </cell>
          <cell r="D49" t="str">
            <v>x</v>
          </cell>
          <cell r="H49">
            <v>0</v>
          </cell>
        </row>
        <row r="58">
          <cell r="B58">
            <v>0</v>
          </cell>
          <cell r="C58">
            <v>0</v>
          </cell>
          <cell r="D58" t="str">
            <v>x</v>
          </cell>
          <cell r="H58">
            <v>0</v>
          </cell>
        </row>
        <row r="67">
          <cell r="B67">
            <v>0</v>
          </cell>
          <cell r="C67">
            <v>0</v>
          </cell>
          <cell r="D67" t="str">
            <v>x</v>
          </cell>
          <cell r="H67">
            <v>85</v>
          </cell>
        </row>
        <row r="76">
          <cell r="B76">
            <v>0</v>
          </cell>
          <cell r="C76">
            <v>0</v>
          </cell>
          <cell r="D76" t="str">
            <v>x</v>
          </cell>
          <cell r="H76">
            <v>85</v>
          </cell>
        </row>
        <row r="85">
          <cell r="B85">
            <v>0</v>
          </cell>
          <cell r="C85">
            <v>0</v>
          </cell>
          <cell r="D85" t="str">
            <v>x</v>
          </cell>
          <cell r="H85">
            <v>85</v>
          </cell>
        </row>
        <row r="94">
          <cell r="B94">
            <v>0</v>
          </cell>
          <cell r="C94">
            <v>0</v>
          </cell>
          <cell r="D94" t="str">
            <v>x</v>
          </cell>
          <cell r="H94">
            <v>85</v>
          </cell>
        </row>
        <row r="103">
          <cell r="B103">
            <v>0</v>
          </cell>
          <cell r="C103">
            <v>0</v>
          </cell>
          <cell r="D103" t="str">
            <v>x</v>
          </cell>
          <cell r="H103">
            <v>85</v>
          </cell>
        </row>
        <row r="112">
          <cell r="B112">
            <v>0</v>
          </cell>
          <cell r="C112">
            <v>0</v>
          </cell>
          <cell r="D112" t="str">
            <v>x</v>
          </cell>
          <cell r="H112">
            <v>83</v>
          </cell>
        </row>
        <row r="121">
          <cell r="B121">
            <v>0</v>
          </cell>
          <cell r="C121">
            <v>0</v>
          </cell>
          <cell r="D121" t="str">
            <v>x</v>
          </cell>
          <cell r="H121">
            <v>85</v>
          </cell>
        </row>
        <row r="130">
          <cell r="B130">
            <v>0</v>
          </cell>
          <cell r="C130">
            <v>0</v>
          </cell>
          <cell r="D130" t="str">
            <v>x</v>
          </cell>
          <cell r="H130">
            <v>55</v>
          </cell>
        </row>
        <row r="139">
          <cell r="B139">
            <v>0</v>
          </cell>
          <cell r="C139">
            <v>0</v>
          </cell>
          <cell r="D139" t="str">
            <v>x</v>
          </cell>
          <cell r="H139">
            <v>85</v>
          </cell>
        </row>
        <row r="148">
          <cell r="B148">
            <v>0</v>
          </cell>
          <cell r="C148">
            <v>0</v>
          </cell>
          <cell r="D148" t="str">
            <v>x</v>
          </cell>
          <cell r="H148">
            <v>85</v>
          </cell>
        </row>
        <row r="157">
          <cell r="B157">
            <v>0</v>
          </cell>
          <cell r="C157">
            <v>0</v>
          </cell>
          <cell r="D157" t="str">
            <v>x</v>
          </cell>
          <cell r="H157">
            <v>85</v>
          </cell>
        </row>
        <row r="166">
          <cell r="B166">
            <v>0</v>
          </cell>
          <cell r="C166">
            <v>0</v>
          </cell>
          <cell r="D166" t="str">
            <v>x</v>
          </cell>
          <cell r="H166">
            <v>55</v>
          </cell>
        </row>
        <row r="175">
          <cell r="B175">
            <v>0</v>
          </cell>
          <cell r="C175">
            <v>0</v>
          </cell>
          <cell r="D175" t="str">
            <v>x</v>
          </cell>
          <cell r="H175">
            <v>85</v>
          </cell>
        </row>
        <row r="184">
          <cell r="B184">
            <v>0</v>
          </cell>
          <cell r="C184">
            <v>0</v>
          </cell>
          <cell r="D184" t="str">
            <v>x</v>
          </cell>
          <cell r="H184">
            <v>85</v>
          </cell>
        </row>
        <row r="193">
          <cell r="B193">
            <v>0</v>
          </cell>
          <cell r="C193">
            <v>0</v>
          </cell>
          <cell r="D193" t="str">
            <v>x</v>
          </cell>
          <cell r="H193">
            <v>75</v>
          </cell>
        </row>
        <row r="202">
          <cell r="B202">
            <v>0</v>
          </cell>
          <cell r="C202">
            <v>0</v>
          </cell>
          <cell r="D202" t="str">
            <v>x</v>
          </cell>
          <cell r="H202">
            <v>55</v>
          </cell>
        </row>
        <row r="211">
          <cell r="B211">
            <v>0</v>
          </cell>
          <cell r="C211">
            <v>0</v>
          </cell>
          <cell r="D211" t="str">
            <v>x</v>
          </cell>
          <cell r="H211">
            <v>75</v>
          </cell>
        </row>
        <row r="220">
          <cell r="B220">
            <v>0</v>
          </cell>
          <cell r="C220">
            <v>0</v>
          </cell>
          <cell r="D220" t="str">
            <v>x</v>
          </cell>
          <cell r="H220">
            <v>0</v>
          </cell>
        </row>
        <row r="238">
          <cell r="B238">
            <v>0</v>
          </cell>
          <cell r="C238">
            <v>0</v>
          </cell>
          <cell r="D238" t="str">
            <v>x</v>
          </cell>
          <cell r="H238">
            <v>0</v>
          </cell>
        </row>
        <row r="247">
          <cell r="B247">
            <v>0</v>
          </cell>
          <cell r="C247">
            <v>0</v>
          </cell>
          <cell r="D247" t="str">
            <v>x</v>
          </cell>
          <cell r="H247">
            <v>0</v>
          </cell>
        </row>
        <row r="256">
          <cell r="B256">
            <v>0</v>
          </cell>
          <cell r="C256">
            <v>0</v>
          </cell>
          <cell r="D256" t="str">
            <v>x</v>
          </cell>
          <cell r="H256">
            <v>0</v>
          </cell>
        </row>
        <row r="265">
          <cell r="B265">
            <v>0</v>
          </cell>
          <cell r="C265">
            <v>0</v>
          </cell>
          <cell r="D265" t="str">
            <v>x</v>
          </cell>
          <cell r="H265">
            <v>0</v>
          </cell>
        </row>
        <row r="274">
          <cell r="B274">
            <v>0</v>
          </cell>
          <cell r="C274">
            <v>0</v>
          </cell>
          <cell r="D274" t="str">
            <v>x</v>
          </cell>
          <cell r="H274">
            <v>0</v>
          </cell>
        </row>
        <row r="283">
          <cell r="B283">
            <v>0</v>
          </cell>
          <cell r="C283">
            <v>0</v>
          </cell>
          <cell r="D283" t="str">
            <v>x</v>
          </cell>
          <cell r="H283">
            <v>0</v>
          </cell>
        </row>
        <row r="292">
          <cell r="B292">
            <v>0</v>
          </cell>
          <cell r="C292">
            <v>0</v>
          </cell>
          <cell r="D292" t="str">
            <v>x</v>
          </cell>
          <cell r="H292">
            <v>0</v>
          </cell>
        </row>
        <row r="301">
          <cell r="B301">
            <v>0</v>
          </cell>
          <cell r="C301">
            <v>0</v>
          </cell>
          <cell r="D301" t="str">
            <v>x</v>
          </cell>
          <cell r="H301">
            <v>0</v>
          </cell>
        </row>
        <row r="310">
          <cell r="B310">
            <v>0</v>
          </cell>
          <cell r="C310">
            <v>0</v>
          </cell>
          <cell r="D310" t="str">
            <v>x</v>
          </cell>
          <cell r="H310">
            <v>0</v>
          </cell>
        </row>
        <row r="319">
          <cell r="B319">
            <v>0</v>
          </cell>
          <cell r="C319">
            <v>0</v>
          </cell>
          <cell r="D319" t="str">
            <v>x</v>
          </cell>
          <cell r="H319">
            <v>0</v>
          </cell>
        </row>
        <row r="328">
          <cell r="B328">
            <v>0</v>
          </cell>
          <cell r="C328">
            <v>0</v>
          </cell>
          <cell r="D328" t="str">
            <v>x</v>
          </cell>
          <cell r="H328">
            <v>85</v>
          </cell>
        </row>
        <row r="337">
          <cell r="B337">
            <v>0</v>
          </cell>
          <cell r="C337">
            <v>0</v>
          </cell>
          <cell r="D337" t="str">
            <v>x</v>
          </cell>
          <cell r="H337">
            <v>0</v>
          </cell>
        </row>
        <row r="346">
          <cell r="B346">
            <v>0</v>
          </cell>
          <cell r="C346">
            <v>0</v>
          </cell>
          <cell r="D346" t="str">
            <v>x</v>
          </cell>
          <cell r="H346">
            <v>0</v>
          </cell>
        </row>
        <row r="355">
          <cell r="B355">
            <v>0</v>
          </cell>
          <cell r="C355">
            <v>0</v>
          </cell>
          <cell r="D355" t="str">
            <v>x</v>
          </cell>
          <cell r="H355">
            <v>0</v>
          </cell>
        </row>
        <row r="364">
          <cell r="B364">
            <v>0</v>
          </cell>
          <cell r="C364">
            <v>0</v>
          </cell>
          <cell r="D364" t="str">
            <v>x</v>
          </cell>
          <cell r="H364">
            <v>0</v>
          </cell>
        </row>
      </sheetData>
      <sheetData sheetId="5"/>
      <sheetData sheetId="6">
        <row r="59">
          <cell r="A59">
            <v>0</v>
          </cell>
          <cell r="B59">
            <v>0</v>
          </cell>
          <cell r="C59">
            <v>0</v>
          </cell>
        </row>
        <row r="60">
          <cell r="A60">
            <v>5</v>
          </cell>
          <cell r="B60">
            <v>0</v>
          </cell>
          <cell r="C60">
            <v>0</v>
          </cell>
        </row>
        <row r="61">
          <cell r="A61">
            <v>10</v>
          </cell>
          <cell r="B61">
            <v>0</v>
          </cell>
          <cell r="C61">
            <v>0</v>
          </cell>
        </row>
        <row r="62">
          <cell r="A62">
            <v>15</v>
          </cell>
          <cell r="B62">
            <v>0</v>
          </cell>
          <cell r="C62">
            <v>0</v>
          </cell>
        </row>
        <row r="63">
          <cell r="A63">
            <v>20</v>
          </cell>
          <cell r="B63">
            <v>0</v>
          </cell>
          <cell r="C63">
            <v>0</v>
          </cell>
        </row>
        <row r="64">
          <cell r="A64">
            <v>25</v>
          </cell>
          <cell r="B64">
            <v>0</v>
          </cell>
          <cell r="C64">
            <v>0</v>
          </cell>
        </row>
        <row r="65">
          <cell r="A65">
            <v>30</v>
          </cell>
          <cell r="B65">
            <v>0</v>
          </cell>
          <cell r="C65">
            <v>0</v>
          </cell>
        </row>
        <row r="66">
          <cell r="A66">
            <v>35</v>
          </cell>
          <cell r="B66">
            <v>0</v>
          </cell>
          <cell r="C66">
            <v>0</v>
          </cell>
        </row>
        <row r="67">
          <cell r="A67">
            <v>40</v>
          </cell>
          <cell r="B67">
            <v>0</v>
          </cell>
          <cell r="C67">
            <v>0</v>
          </cell>
        </row>
        <row r="68">
          <cell r="A68">
            <v>45</v>
          </cell>
          <cell r="B68">
            <v>0</v>
          </cell>
          <cell r="C68">
            <v>0</v>
          </cell>
        </row>
        <row r="69">
          <cell r="A69">
            <v>50</v>
          </cell>
          <cell r="B69">
            <v>0</v>
          </cell>
          <cell r="C69">
            <v>0</v>
          </cell>
        </row>
        <row r="70">
          <cell r="A70">
            <v>51</v>
          </cell>
          <cell r="B70">
            <v>1</v>
          </cell>
          <cell r="C70">
            <v>1</v>
          </cell>
        </row>
        <row r="71">
          <cell r="A71">
            <v>55</v>
          </cell>
          <cell r="B71">
            <v>1</v>
          </cell>
          <cell r="C71">
            <v>1</v>
          </cell>
        </row>
        <row r="72">
          <cell r="A72">
            <v>60</v>
          </cell>
          <cell r="B72">
            <v>1</v>
          </cell>
          <cell r="C72">
            <v>1</v>
          </cell>
        </row>
        <row r="73">
          <cell r="A73">
            <v>65</v>
          </cell>
          <cell r="B73">
            <v>1</v>
          </cell>
          <cell r="C73">
            <v>1</v>
          </cell>
        </row>
        <row r="74">
          <cell r="A74">
            <v>70</v>
          </cell>
          <cell r="B74">
            <v>1</v>
          </cell>
          <cell r="C74">
            <v>1</v>
          </cell>
        </row>
        <row r="75">
          <cell r="A75">
            <v>75</v>
          </cell>
          <cell r="B75">
            <v>1</v>
          </cell>
          <cell r="C75">
            <v>1</v>
          </cell>
        </row>
        <row r="76">
          <cell r="A76">
            <v>76</v>
          </cell>
          <cell r="B76">
            <v>2</v>
          </cell>
          <cell r="C76">
            <v>2</v>
          </cell>
        </row>
        <row r="77">
          <cell r="A77">
            <v>80</v>
          </cell>
          <cell r="B77">
            <v>2</v>
          </cell>
          <cell r="C77">
            <v>2</v>
          </cell>
        </row>
        <row r="78">
          <cell r="A78">
            <v>85</v>
          </cell>
          <cell r="B78">
            <v>2</v>
          </cell>
          <cell r="C78">
            <v>2</v>
          </cell>
        </row>
        <row r="79">
          <cell r="A79">
            <v>90</v>
          </cell>
          <cell r="B79">
            <v>2</v>
          </cell>
          <cell r="C79">
            <v>2</v>
          </cell>
        </row>
        <row r="80">
          <cell r="A80">
            <v>95</v>
          </cell>
          <cell r="B80">
            <v>2</v>
          </cell>
          <cell r="C80">
            <v>2</v>
          </cell>
        </row>
        <row r="81">
          <cell r="A81">
            <v>100</v>
          </cell>
          <cell r="B81">
            <v>2</v>
          </cell>
          <cell r="C81">
            <v>2</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concejodebogota.gov.co/cbogota/site/artic/20190809/asocfile/20190809142020/inf_seguimiento_audiencia_publica_1er_semestre_2019.docx" TargetMode="External"/><Relationship Id="rId1" Type="http://schemas.openxmlformats.org/officeDocument/2006/relationships/hyperlink" Target="http://concejodebogota.gov.co/transparencia/cbogota/2019-03-20/083307.phpPAGINA%20WEB"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tabSelected="1" view="pageBreakPreview" topLeftCell="A9" zoomScale="85" zoomScaleNormal="85" zoomScaleSheetLayoutView="85" workbookViewId="0">
      <selection activeCell="A9" sqref="A9:R9"/>
    </sheetView>
  </sheetViews>
  <sheetFormatPr baseColWidth="10" defaultColWidth="11.42578125" defaultRowHeight="15" x14ac:dyDescent="0.25"/>
  <cols>
    <col min="1" max="1" width="30.7109375" customWidth="1"/>
    <col min="2" max="2" width="5.140625" customWidth="1"/>
    <col min="3" max="3" width="32.7109375" customWidth="1"/>
    <col min="4" max="4" width="14.85546875" customWidth="1"/>
    <col min="5" max="5" width="12.28515625" customWidth="1"/>
    <col min="6" max="6" width="12.5703125" customWidth="1"/>
    <col min="7" max="7" width="12.7109375" customWidth="1"/>
    <col min="8" max="8" width="1.85546875" customWidth="1"/>
    <col min="9" max="9" width="16.42578125" customWidth="1"/>
    <col min="10" max="10" width="8.7109375" style="27" customWidth="1"/>
    <col min="11" max="11" width="11.42578125" style="139"/>
    <col min="13" max="13" width="33.85546875" customWidth="1"/>
    <col min="14" max="14" width="18.5703125" customWidth="1"/>
    <col min="17" max="17" width="28.28515625" customWidth="1"/>
  </cols>
  <sheetData>
    <row r="1" spans="1:18" ht="14.25" customHeight="1" x14ac:dyDescent="0.25">
      <c r="A1" s="375" t="s">
        <v>498</v>
      </c>
      <c r="B1" s="376"/>
      <c r="C1" s="376"/>
      <c r="D1" s="376"/>
      <c r="E1" s="376"/>
      <c r="F1" s="376"/>
      <c r="G1" s="376"/>
      <c r="H1" s="376"/>
      <c r="I1" s="376"/>
      <c r="J1" s="376"/>
      <c r="K1" s="376"/>
      <c r="L1" s="376"/>
      <c r="M1" s="376"/>
      <c r="N1" s="376"/>
      <c r="O1" s="376"/>
      <c r="P1" s="376"/>
      <c r="Q1" s="376"/>
      <c r="R1" s="376"/>
    </row>
    <row r="2" spans="1:18" ht="14.25" customHeight="1" x14ac:dyDescent="0.25">
      <c r="A2" s="375"/>
      <c r="B2" s="376"/>
      <c r="C2" s="376"/>
      <c r="D2" s="376"/>
      <c r="E2" s="376"/>
      <c r="F2" s="376"/>
      <c r="G2" s="376"/>
      <c r="H2" s="376"/>
      <c r="I2" s="376"/>
      <c r="J2" s="376"/>
      <c r="K2" s="376"/>
      <c r="L2" s="376"/>
      <c r="M2" s="376"/>
      <c r="N2" s="376"/>
      <c r="O2" s="376"/>
      <c r="P2" s="376"/>
      <c r="Q2" s="376"/>
      <c r="R2" s="376"/>
    </row>
    <row r="3" spans="1:18" ht="68.25" customHeight="1" thickBot="1" x14ac:dyDescent="0.3">
      <c r="A3" s="375"/>
      <c r="B3" s="376"/>
      <c r="C3" s="376"/>
      <c r="D3" s="376"/>
      <c r="E3" s="376"/>
      <c r="F3" s="376"/>
      <c r="G3" s="376"/>
      <c r="H3" s="376"/>
      <c r="I3" s="376"/>
      <c r="J3" s="376"/>
      <c r="K3" s="376"/>
      <c r="L3" s="376"/>
      <c r="M3" s="376"/>
      <c r="N3" s="376"/>
      <c r="O3" s="376"/>
      <c r="P3" s="376"/>
      <c r="Q3" s="376"/>
      <c r="R3" s="376"/>
    </row>
    <row r="4" spans="1:18" ht="45.75" customHeight="1" x14ac:dyDescent="0.25">
      <c r="A4" s="248" t="s">
        <v>6</v>
      </c>
      <c r="B4" s="393" t="s">
        <v>478</v>
      </c>
      <c r="C4" s="393"/>
      <c r="D4" s="393"/>
      <c r="E4" s="393"/>
      <c r="F4" s="393"/>
      <c r="G4" s="393"/>
      <c r="H4" s="393"/>
      <c r="I4" s="393"/>
      <c r="J4" s="393"/>
      <c r="K4" s="393"/>
      <c r="L4" s="393"/>
      <c r="M4" s="393"/>
      <c r="N4" s="393"/>
      <c r="O4" s="393"/>
      <c r="P4" s="393"/>
      <c r="Q4" s="393"/>
      <c r="R4" s="394"/>
    </row>
    <row r="5" spans="1:18" ht="6" customHeight="1" x14ac:dyDescent="0.25">
      <c r="A5" s="377"/>
      <c r="B5" s="378"/>
      <c r="C5" s="378"/>
      <c r="D5" s="378"/>
      <c r="E5" s="378"/>
      <c r="F5" s="378"/>
      <c r="G5" s="378"/>
      <c r="H5" s="378"/>
      <c r="I5" s="378"/>
      <c r="J5" s="378"/>
      <c r="K5" s="378"/>
      <c r="L5" s="378"/>
      <c r="M5" s="378"/>
      <c r="N5" s="378"/>
      <c r="O5" s="378"/>
      <c r="P5" s="378"/>
      <c r="Q5" s="378"/>
      <c r="R5" s="379"/>
    </row>
    <row r="6" spans="1:18" x14ac:dyDescent="0.25">
      <c r="A6" s="390" t="s">
        <v>7</v>
      </c>
      <c r="B6" s="391"/>
      <c r="C6" s="391"/>
      <c r="D6" s="391"/>
      <c r="E6" s="391"/>
      <c r="F6" s="391"/>
      <c r="G6" s="391"/>
      <c r="H6" s="391"/>
      <c r="I6" s="391"/>
      <c r="J6" s="391"/>
      <c r="K6" s="391"/>
      <c r="L6" s="391"/>
      <c r="M6" s="391"/>
      <c r="N6" s="391"/>
      <c r="O6" s="391"/>
      <c r="P6" s="391"/>
      <c r="Q6" s="391"/>
      <c r="R6" s="392"/>
    </row>
    <row r="7" spans="1:18" ht="6" customHeight="1" x14ac:dyDescent="0.25">
      <c r="A7" s="387"/>
      <c r="B7" s="388"/>
      <c r="C7" s="388"/>
      <c r="D7" s="388"/>
      <c r="E7" s="388"/>
      <c r="F7" s="388"/>
      <c r="G7" s="388"/>
      <c r="H7" s="388"/>
      <c r="I7" s="388"/>
      <c r="J7" s="388"/>
      <c r="K7" s="388"/>
      <c r="L7" s="388"/>
      <c r="M7" s="388"/>
      <c r="N7" s="388"/>
      <c r="O7" s="388"/>
      <c r="P7" s="388"/>
      <c r="Q7" s="388"/>
      <c r="R7" s="389"/>
    </row>
    <row r="8" spans="1:18" ht="14.25" customHeight="1" x14ac:dyDescent="0.25">
      <c r="A8" s="384" t="s">
        <v>483</v>
      </c>
      <c r="B8" s="385"/>
      <c r="C8" s="385"/>
      <c r="D8" s="385"/>
      <c r="E8" s="385"/>
      <c r="F8" s="385"/>
      <c r="G8" s="385"/>
      <c r="H8" s="385"/>
      <c r="I8" s="385"/>
      <c r="J8" s="385"/>
      <c r="K8" s="385"/>
      <c r="L8" s="385"/>
      <c r="M8" s="385"/>
      <c r="N8" s="385"/>
      <c r="O8" s="385"/>
      <c r="P8" s="385"/>
      <c r="Q8" s="385"/>
      <c r="R8" s="386"/>
    </row>
    <row r="9" spans="1:18" ht="6" customHeight="1" x14ac:dyDescent="0.25">
      <c r="A9" s="401"/>
      <c r="B9" s="402"/>
      <c r="C9" s="402"/>
      <c r="D9" s="402"/>
      <c r="E9" s="402"/>
      <c r="F9" s="402"/>
      <c r="G9" s="402"/>
      <c r="H9" s="402"/>
      <c r="I9" s="402"/>
      <c r="J9" s="402"/>
      <c r="K9" s="402"/>
      <c r="L9" s="402"/>
      <c r="M9" s="402"/>
      <c r="N9" s="402"/>
      <c r="O9" s="402"/>
      <c r="P9" s="402"/>
      <c r="Q9" s="402"/>
      <c r="R9" s="403"/>
    </row>
    <row r="10" spans="1:18" ht="15" customHeight="1" x14ac:dyDescent="0.25">
      <c r="A10" s="384" t="s">
        <v>481</v>
      </c>
      <c r="B10" s="385"/>
      <c r="C10" s="385"/>
      <c r="D10" s="385"/>
      <c r="E10" s="385"/>
      <c r="F10" s="385"/>
      <c r="G10" s="385"/>
      <c r="H10" s="385"/>
      <c r="I10" s="385"/>
      <c r="J10" s="385"/>
      <c r="K10" s="385"/>
      <c r="L10" s="385"/>
      <c r="M10" s="385"/>
      <c r="N10" s="385"/>
      <c r="O10" s="385"/>
      <c r="P10" s="385"/>
      <c r="Q10" s="385"/>
      <c r="R10" s="386"/>
    </row>
    <row r="11" spans="1:18" ht="6" customHeight="1" x14ac:dyDescent="0.25">
      <c r="A11" s="398"/>
      <c r="B11" s="399"/>
      <c r="C11" s="399"/>
      <c r="D11" s="399"/>
      <c r="E11" s="399"/>
      <c r="F11" s="399"/>
      <c r="G11" s="399"/>
      <c r="H11" s="399"/>
      <c r="I11" s="399"/>
      <c r="J11" s="399"/>
      <c r="K11" s="399"/>
      <c r="L11" s="399"/>
      <c r="M11" s="399"/>
      <c r="N11" s="399"/>
      <c r="O11" s="399"/>
      <c r="P11" s="399"/>
      <c r="Q11" s="399"/>
      <c r="R11" s="400"/>
    </row>
    <row r="12" spans="1:18" ht="16.5" customHeight="1" x14ac:dyDescent="0.25">
      <c r="A12" s="384" t="s">
        <v>479</v>
      </c>
      <c r="B12" s="385"/>
      <c r="C12" s="385"/>
      <c r="D12" s="385"/>
      <c r="E12" s="385"/>
      <c r="F12" s="385"/>
      <c r="G12" s="385"/>
      <c r="H12" s="385"/>
      <c r="I12" s="385"/>
      <c r="J12" s="385"/>
      <c r="K12" s="385"/>
      <c r="L12" s="385"/>
      <c r="M12" s="385"/>
      <c r="N12" s="385"/>
      <c r="O12" s="385"/>
      <c r="P12" s="385"/>
      <c r="Q12" s="385"/>
      <c r="R12" s="386"/>
    </row>
    <row r="13" spans="1:18" ht="6" customHeight="1" x14ac:dyDescent="0.25">
      <c r="A13" s="398"/>
      <c r="B13" s="399"/>
      <c r="C13" s="399"/>
      <c r="D13" s="399"/>
      <c r="E13" s="399"/>
      <c r="F13" s="399"/>
      <c r="G13" s="399"/>
      <c r="H13" s="399"/>
      <c r="I13" s="399"/>
      <c r="J13" s="399"/>
      <c r="K13" s="399"/>
      <c r="L13" s="399"/>
      <c r="M13" s="399"/>
      <c r="N13" s="399"/>
      <c r="O13" s="399"/>
      <c r="P13" s="399"/>
      <c r="Q13" s="399"/>
      <c r="R13" s="400"/>
    </row>
    <row r="14" spans="1:18" ht="19.5" customHeight="1" x14ac:dyDescent="0.25">
      <c r="A14" s="395" t="s">
        <v>480</v>
      </c>
      <c r="B14" s="396"/>
      <c r="C14" s="396"/>
      <c r="D14" s="396"/>
      <c r="E14" s="396"/>
      <c r="F14" s="396"/>
      <c r="G14" s="396"/>
      <c r="H14" s="396"/>
      <c r="I14" s="396"/>
      <c r="J14" s="396"/>
      <c r="K14" s="396"/>
      <c r="L14" s="396"/>
      <c r="M14" s="396"/>
      <c r="N14" s="396"/>
      <c r="O14" s="396"/>
      <c r="P14" s="396"/>
      <c r="Q14" s="396"/>
      <c r="R14" s="397"/>
    </row>
    <row r="15" spans="1:18" ht="6" customHeight="1" x14ac:dyDescent="0.25">
      <c r="A15" s="398"/>
      <c r="B15" s="399"/>
      <c r="C15" s="399"/>
      <c r="D15" s="399"/>
      <c r="E15" s="399"/>
      <c r="F15" s="399"/>
      <c r="G15" s="399"/>
      <c r="H15" s="399"/>
      <c r="I15" s="399"/>
      <c r="J15" s="399"/>
      <c r="K15" s="399"/>
      <c r="L15" s="399"/>
      <c r="M15" s="399"/>
      <c r="N15" s="399"/>
      <c r="O15" s="399"/>
      <c r="P15" s="399"/>
      <c r="Q15" s="399"/>
      <c r="R15" s="400"/>
    </row>
    <row r="16" spans="1:18" ht="18.75" customHeight="1" x14ac:dyDescent="0.25">
      <c r="A16" s="384" t="s">
        <v>482</v>
      </c>
      <c r="B16" s="385"/>
      <c r="C16" s="385"/>
      <c r="D16" s="385"/>
      <c r="E16" s="385"/>
      <c r="F16" s="385"/>
      <c r="G16" s="385"/>
      <c r="H16" s="385"/>
      <c r="I16" s="385"/>
      <c r="J16" s="385"/>
      <c r="K16" s="385"/>
      <c r="L16" s="385"/>
      <c r="M16" s="385"/>
      <c r="N16" s="385"/>
      <c r="O16" s="385"/>
      <c r="P16" s="385"/>
      <c r="Q16" s="385"/>
      <c r="R16" s="386"/>
    </row>
    <row r="17" spans="1:18" ht="14.25" customHeight="1" thickBot="1" x14ac:dyDescent="0.3">
      <c r="A17" s="380"/>
      <c r="B17" s="381"/>
      <c r="C17" s="381"/>
      <c r="D17" s="381"/>
      <c r="E17" s="381"/>
      <c r="F17" s="381"/>
      <c r="G17" s="381"/>
      <c r="H17" s="381"/>
      <c r="I17" s="381"/>
      <c r="J17" s="381"/>
      <c r="K17" s="381"/>
      <c r="L17" s="381"/>
      <c r="M17" s="381"/>
      <c r="N17" s="381"/>
      <c r="O17" s="382"/>
      <c r="P17" s="382"/>
      <c r="Q17" s="382"/>
      <c r="R17" s="383"/>
    </row>
    <row r="18" spans="1:18" ht="15.75" x14ac:dyDescent="0.25">
      <c r="A18" s="406" t="s">
        <v>497</v>
      </c>
      <c r="B18" s="407"/>
      <c r="C18" s="407"/>
      <c r="D18" s="407"/>
      <c r="E18" s="407"/>
      <c r="F18" s="407"/>
      <c r="G18" s="407"/>
      <c r="H18" s="407"/>
      <c r="I18" s="407"/>
      <c r="J18" s="407"/>
      <c r="K18" s="408" t="s">
        <v>496</v>
      </c>
      <c r="L18" s="409"/>
      <c r="M18" s="409"/>
      <c r="N18" s="409"/>
      <c r="O18" s="422" t="s">
        <v>676</v>
      </c>
      <c r="P18" s="423"/>
      <c r="Q18" s="423"/>
      <c r="R18" s="424"/>
    </row>
    <row r="19" spans="1:18" ht="57" customHeight="1" x14ac:dyDescent="0.25">
      <c r="A19" s="217" t="s">
        <v>8</v>
      </c>
      <c r="B19" s="426" t="s">
        <v>9</v>
      </c>
      <c r="C19" s="426"/>
      <c r="D19" s="134" t="s">
        <v>10</v>
      </c>
      <c r="E19" s="5" t="s">
        <v>11</v>
      </c>
      <c r="F19" s="5" t="s">
        <v>12</v>
      </c>
      <c r="G19" s="426" t="s">
        <v>13</v>
      </c>
      <c r="H19" s="426"/>
      <c r="I19" s="135" t="s">
        <v>473</v>
      </c>
      <c r="J19" s="6" t="s">
        <v>14</v>
      </c>
      <c r="K19" s="119" t="s">
        <v>499</v>
      </c>
      <c r="L19" s="119" t="s">
        <v>500</v>
      </c>
      <c r="M19" s="119" t="s">
        <v>494</v>
      </c>
      <c r="N19" s="341" t="s">
        <v>495</v>
      </c>
      <c r="O19" s="348" t="s">
        <v>677</v>
      </c>
      <c r="P19" s="246" t="s">
        <v>678</v>
      </c>
      <c r="Q19" s="246" t="s">
        <v>494</v>
      </c>
      <c r="R19" s="247" t="s">
        <v>495</v>
      </c>
    </row>
    <row r="20" spans="1:18" ht="7.5" customHeight="1" x14ac:dyDescent="0.25">
      <c r="A20" s="213"/>
      <c r="B20" s="214"/>
      <c r="C20" s="214"/>
      <c r="D20" s="214"/>
      <c r="E20" s="214"/>
      <c r="F20" s="214"/>
      <c r="G20" s="214"/>
      <c r="H20" s="214"/>
      <c r="I20" s="214"/>
      <c r="J20" s="214"/>
      <c r="K20" s="215"/>
      <c r="L20" s="216"/>
      <c r="M20" s="216"/>
      <c r="N20" s="216"/>
      <c r="O20" s="349"/>
      <c r="P20" s="120"/>
      <c r="Q20" s="120"/>
      <c r="R20" s="218"/>
    </row>
    <row r="21" spans="1:18" ht="63.75" x14ac:dyDescent="0.25">
      <c r="A21" s="410" t="s">
        <v>487</v>
      </c>
      <c r="B21" s="7">
        <v>1</v>
      </c>
      <c r="C21" s="8" t="s">
        <v>417</v>
      </c>
      <c r="D21" s="114" t="s">
        <v>418</v>
      </c>
      <c r="E21" s="9">
        <v>43525</v>
      </c>
      <c r="F21" s="9">
        <v>43617</v>
      </c>
      <c r="G21" s="412" t="s">
        <v>419</v>
      </c>
      <c r="H21" s="413"/>
      <c r="I21" s="133" t="s">
        <v>420</v>
      </c>
      <c r="J21" s="10">
        <v>0.6</v>
      </c>
      <c r="K21" s="125" t="s">
        <v>508</v>
      </c>
      <c r="L21" s="120"/>
      <c r="M21" s="120"/>
      <c r="N21" s="342"/>
      <c r="O21" s="349">
        <v>1</v>
      </c>
      <c r="P21" s="126">
        <v>0.6</v>
      </c>
      <c r="Q21" s="122" t="s">
        <v>971</v>
      </c>
      <c r="R21" s="218"/>
    </row>
    <row r="22" spans="1:18" ht="105" x14ac:dyDescent="0.25">
      <c r="A22" s="416"/>
      <c r="B22" s="7">
        <f t="shared" ref="B22" si="0">B21+1</f>
        <v>2</v>
      </c>
      <c r="C22" s="8" t="s">
        <v>421</v>
      </c>
      <c r="D22" s="114" t="s">
        <v>4</v>
      </c>
      <c r="E22" s="9">
        <v>43497</v>
      </c>
      <c r="F22" s="9">
        <v>43554</v>
      </c>
      <c r="G22" s="412" t="s">
        <v>422</v>
      </c>
      <c r="H22" s="413"/>
      <c r="I22" s="133" t="s">
        <v>423</v>
      </c>
      <c r="J22" s="10">
        <v>1</v>
      </c>
      <c r="K22" s="123">
        <v>1</v>
      </c>
      <c r="L22" s="123">
        <v>1</v>
      </c>
      <c r="M22" s="124" t="s">
        <v>509</v>
      </c>
      <c r="N22" s="343" t="s">
        <v>510</v>
      </c>
      <c r="O22" s="350" t="s">
        <v>508</v>
      </c>
      <c r="P22" s="123" t="s">
        <v>508</v>
      </c>
      <c r="Q22" s="124" t="s">
        <v>508</v>
      </c>
      <c r="R22" s="219" t="s">
        <v>508</v>
      </c>
    </row>
    <row r="23" spans="1:18" ht="38.25" x14ac:dyDescent="0.25">
      <c r="A23" s="416"/>
      <c r="B23" s="7">
        <v>3</v>
      </c>
      <c r="C23" s="8" t="s">
        <v>424</v>
      </c>
      <c r="D23" s="114" t="s">
        <v>4</v>
      </c>
      <c r="E23" s="9">
        <v>43525</v>
      </c>
      <c r="F23" s="9">
        <v>43738</v>
      </c>
      <c r="G23" s="412" t="s">
        <v>471</v>
      </c>
      <c r="H23" s="413"/>
      <c r="I23" s="133" t="s">
        <v>425</v>
      </c>
      <c r="J23" s="10"/>
      <c r="K23" s="125" t="s">
        <v>508</v>
      </c>
      <c r="L23" s="120"/>
      <c r="M23" s="120"/>
      <c r="N23" s="342"/>
      <c r="O23" s="349" t="s">
        <v>508</v>
      </c>
      <c r="P23" s="120" t="s">
        <v>508</v>
      </c>
      <c r="Q23" s="120" t="s">
        <v>508</v>
      </c>
      <c r="R23" s="218" t="s">
        <v>508</v>
      </c>
    </row>
    <row r="24" spans="1:18" ht="105" x14ac:dyDescent="0.25">
      <c r="A24" s="416"/>
      <c r="B24" s="7">
        <v>4</v>
      </c>
      <c r="C24" s="8" t="s">
        <v>426</v>
      </c>
      <c r="D24" s="114" t="s">
        <v>427</v>
      </c>
      <c r="E24" s="9">
        <v>43466</v>
      </c>
      <c r="F24" s="9">
        <v>43496</v>
      </c>
      <c r="G24" s="412" t="s">
        <v>428</v>
      </c>
      <c r="H24" s="413"/>
      <c r="I24" s="133" t="s">
        <v>429</v>
      </c>
      <c r="J24" s="10">
        <v>1</v>
      </c>
      <c r="K24" s="126">
        <v>1</v>
      </c>
      <c r="L24" s="126">
        <v>1</v>
      </c>
      <c r="M24" s="122" t="s">
        <v>511</v>
      </c>
      <c r="N24" s="344" t="s">
        <v>512</v>
      </c>
      <c r="O24" s="351" t="s">
        <v>508</v>
      </c>
      <c r="P24" s="126" t="s">
        <v>508</v>
      </c>
      <c r="Q24" s="122" t="s">
        <v>1021</v>
      </c>
      <c r="R24" s="220" t="s">
        <v>508</v>
      </c>
    </row>
    <row r="25" spans="1:18" ht="120" x14ac:dyDescent="0.25">
      <c r="A25" s="416"/>
      <c r="B25" s="7">
        <v>5</v>
      </c>
      <c r="C25" s="8" t="s">
        <v>430</v>
      </c>
      <c r="D25" s="114" t="s">
        <v>454</v>
      </c>
      <c r="E25" s="9">
        <v>43496</v>
      </c>
      <c r="F25" s="9">
        <v>43829</v>
      </c>
      <c r="G25" s="412" t="s">
        <v>431</v>
      </c>
      <c r="H25" s="413"/>
      <c r="I25" s="133" t="s">
        <v>432</v>
      </c>
      <c r="J25" s="10">
        <v>0.7</v>
      </c>
      <c r="K25" s="125">
        <v>33</v>
      </c>
      <c r="L25" s="126">
        <v>0.33</v>
      </c>
      <c r="M25" s="124" t="s">
        <v>514</v>
      </c>
      <c r="N25" s="343" t="s">
        <v>515</v>
      </c>
      <c r="O25" s="349"/>
      <c r="P25" s="126">
        <v>0.7</v>
      </c>
      <c r="Q25" s="124" t="s">
        <v>972</v>
      </c>
      <c r="R25" s="219" t="s">
        <v>973</v>
      </c>
    </row>
    <row r="26" spans="1:18" ht="255" x14ac:dyDescent="0.25">
      <c r="A26" s="416"/>
      <c r="B26" s="7">
        <v>6</v>
      </c>
      <c r="C26" s="8" t="s">
        <v>435</v>
      </c>
      <c r="D26" s="114" t="s">
        <v>466</v>
      </c>
      <c r="E26" s="9">
        <v>43585</v>
      </c>
      <c r="F26" s="9">
        <v>43830</v>
      </c>
      <c r="G26" s="412" t="s">
        <v>433</v>
      </c>
      <c r="H26" s="413"/>
      <c r="I26" s="114" t="s">
        <v>434</v>
      </c>
      <c r="J26" s="10">
        <v>0.62</v>
      </c>
      <c r="K26" s="125">
        <v>33</v>
      </c>
      <c r="L26" s="126">
        <v>0.28999999999999998</v>
      </c>
      <c r="M26" s="127" t="s">
        <v>664</v>
      </c>
      <c r="N26" s="345" t="s">
        <v>530</v>
      </c>
      <c r="O26" s="349"/>
      <c r="P26" s="126">
        <v>0.33</v>
      </c>
      <c r="Q26" s="318" t="s">
        <v>974</v>
      </c>
      <c r="R26" s="223" t="s">
        <v>1022</v>
      </c>
    </row>
    <row r="27" spans="1:18" ht="25.5" x14ac:dyDescent="0.25">
      <c r="A27" s="411"/>
      <c r="B27" s="7">
        <v>7</v>
      </c>
      <c r="C27" s="8" t="s">
        <v>436</v>
      </c>
      <c r="D27" s="11" t="s">
        <v>437</v>
      </c>
      <c r="E27" s="9">
        <v>43585</v>
      </c>
      <c r="F27" s="9">
        <v>43830</v>
      </c>
      <c r="G27" s="412" t="s">
        <v>439</v>
      </c>
      <c r="H27" s="413"/>
      <c r="I27" s="133" t="s">
        <v>438</v>
      </c>
      <c r="J27" s="10"/>
      <c r="K27" s="125" t="s">
        <v>508</v>
      </c>
      <c r="L27" s="120"/>
      <c r="M27" s="121"/>
      <c r="N27" s="342"/>
      <c r="O27" s="349" t="s">
        <v>508</v>
      </c>
      <c r="P27" s="120" t="s">
        <v>508</v>
      </c>
      <c r="Q27" s="121" t="s">
        <v>508</v>
      </c>
      <c r="R27" s="218" t="s">
        <v>508</v>
      </c>
    </row>
    <row r="28" spans="1:18" x14ac:dyDescent="0.25">
      <c r="A28" s="222" t="s">
        <v>486</v>
      </c>
      <c r="B28" s="7"/>
      <c r="C28" s="419" t="s">
        <v>443</v>
      </c>
      <c r="D28" s="420"/>
      <c r="E28" s="420"/>
      <c r="F28" s="420"/>
      <c r="G28" s="420"/>
      <c r="H28" s="420"/>
      <c r="I28" s="421"/>
      <c r="J28" s="120"/>
      <c r="K28" s="215"/>
      <c r="L28" s="120"/>
      <c r="M28" s="120"/>
      <c r="N28" s="342"/>
      <c r="O28" s="349"/>
      <c r="P28" s="120"/>
      <c r="Q28" s="120"/>
      <c r="R28" s="218"/>
    </row>
    <row r="29" spans="1:18" ht="204" x14ac:dyDescent="0.25">
      <c r="A29" s="222" t="s">
        <v>485</v>
      </c>
      <c r="B29" s="7">
        <v>8</v>
      </c>
      <c r="C29" s="8" t="s">
        <v>444</v>
      </c>
      <c r="D29" s="114" t="s">
        <v>440</v>
      </c>
      <c r="E29" s="9">
        <v>43466</v>
      </c>
      <c r="F29" s="9">
        <v>43860</v>
      </c>
      <c r="G29" s="412" t="s">
        <v>472</v>
      </c>
      <c r="H29" s="413"/>
      <c r="I29" s="133" t="s">
        <v>423</v>
      </c>
      <c r="J29" s="10">
        <v>0.67</v>
      </c>
      <c r="K29" s="207">
        <v>1</v>
      </c>
      <c r="L29" s="208">
        <f>5/6</f>
        <v>0.83333333333333337</v>
      </c>
      <c r="M29" s="137" t="s">
        <v>654</v>
      </c>
      <c r="N29" s="342"/>
      <c r="O29" s="352"/>
      <c r="P29" s="320">
        <v>0.67</v>
      </c>
      <c r="Q29" s="321" t="s">
        <v>1027</v>
      </c>
      <c r="R29" s="223"/>
    </row>
    <row r="30" spans="1:18" ht="76.5" x14ac:dyDescent="0.25">
      <c r="A30" s="410" t="s">
        <v>484</v>
      </c>
      <c r="B30" s="7">
        <v>9</v>
      </c>
      <c r="C30" s="8" t="s">
        <v>455</v>
      </c>
      <c r="D30" s="11" t="s">
        <v>467</v>
      </c>
      <c r="E30" s="117">
        <v>43497</v>
      </c>
      <c r="F30" s="117">
        <v>43676</v>
      </c>
      <c r="G30" s="412" t="s">
        <v>474</v>
      </c>
      <c r="H30" s="413"/>
      <c r="I30" s="133" t="s">
        <v>445</v>
      </c>
      <c r="J30" s="10">
        <v>1</v>
      </c>
      <c r="K30" s="138" t="s">
        <v>532</v>
      </c>
      <c r="L30" s="120"/>
      <c r="M30" s="137" t="s">
        <v>531</v>
      </c>
      <c r="N30" s="342"/>
      <c r="O30" s="353"/>
      <c r="P30" s="126">
        <v>1</v>
      </c>
      <c r="Q30" s="137" t="s">
        <v>949</v>
      </c>
      <c r="R30" s="221" t="s">
        <v>530</v>
      </c>
    </row>
    <row r="31" spans="1:18" ht="82.5" customHeight="1" x14ac:dyDescent="0.25">
      <c r="A31" s="416"/>
      <c r="B31" s="7">
        <v>10</v>
      </c>
      <c r="C31" s="115" t="s">
        <v>456</v>
      </c>
      <c r="D31" s="116" t="s">
        <v>468</v>
      </c>
      <c r="E31" s="117">
        <v>43497</v>
      </c>
      <c r="F31" s="117">
        <v>43830</v>
      </c>
      <c r="G31" s="429" t="s">
        <v>446</v>
      </c>
      <c r="H31" s="430"/>
      <c r="I31" s="133" t="s">
        <v>447</v>
      </c>
      <c r="J31" s="10">
        <v>1</v>
      </c>
      <c r="K31" s="138" t="s">
        <v>532</v>
      </c>
      <c r="L31" s="120"/>
      <c r="M31" s="136" t="s">
        <v>531</v>
      </c>
      <c r="N31" s="342"/>
      <c r="O31" s="353"/>
      <c r="P31" s="126">
        <v>1</v>
      </c>
      <c r="Q31" s="137" t="s">
        <v>950</v>
      </c>
      <c r="R31" s="221" t="s">
        <v>530</v>
      </c>
    </row>
    <row r="32" spans="1:18" ht="165" x14ac:dyDescent="0.25">
      <c r="A32" s="416"/>
      <c r="B32" s="7">
        <v>11</v>
      </c>
      <c r="C32" s="14" t="s">
        <v>477</v>
      </c>
      <c r="D32" s="11" t="s">
        <v>448</v>
      </c>
      <c r="E32" s="117">
        <v>43497</v>
      </c>
      <c r="F32" s="117">
        <v>43830</v>
      </c>
      <c r="G32" s="412" t="s">
        <v>469</v>
      </c>
      <c r="H32" s="413"/>
      <c r="I32" s="133" t="s">
        <v>470</v>
      </c>
      <c r="J32" s="10">
        <v>0.5</v>
      </c>
      <c r="K32" s="125" t="s">
        <v>533</v>
      </c>
      <c r="L32" s="120"/>
      <c r="M32" s="120"/>
      <c r="N32" s="342"/>
      <c r="O32" s="355">
        <v>0.5</v>
      </c>
      <c r="P32" s="207">
        <v>0.5</v>
      </c>
      <c r="Q32" s="338" t="s">
        <v>1023</v>
      </c>
      <c r="R32" s="340" t="s">
        <v>1024</v>
      </c>
    </row>
    <row r="33" spans="1:18" ht="90" x14ac:dyDescent="0.25">
      <c r="A33" s="416"/>
      <c r="B33" s="7">
        <v>12</v>
      </c>
      <c r="C33" s="12" t="s">
        <v>457</v>
      </c>
      <c r="D33" s="114" t="s">
        <v>258</v>
      </c>
      <c r="E33" s="117">
        <v>43497</v>
      </c>
      <c r="F33" s="117">
        <v>43738</v>
      </c>
      <c r="G33" s="412" t="s">
        <v>458</v>
      </c>
      <c r="H33" s="413"/>
      <c r="I33" s="133" t="s">
        <v>447</v>
      </c>
      <c r="J33" s="10">
        <v>0.3</v>
      </c>
      <c r="K33" s="125"/>
      <c r="L33" s="120"/>
      <c r="M33" s="122" t="s">
        <v>531</v>
      </c>
      <c r="N33" s="342"/>
      <c r="O33" s="349"/>
      <c r="P33" s="126">
        <v>0.3</v>
      </c>
      <c r="Q33" s="122" t="s">
        <v>951</v>
      </c>
      <c r="R33" s="218"/>
    </row>
    <row r="34" spans="1:18" ht="90" x14ac:dyDescent="0.25">
      <c r="A34" s="411"/>
      <c r="B34" s="7">
        <v>13</v>
      </c>
      <c r="C34" s="12" t="s">
        <v>459</v>
      </c>
      <c r="D34" s="114" t="s">
        <v>437</v>
      </c>
      <c r="E34" s="117">
        <v>43646</v>
      </c>
      <c r="F34" s="117">
        <v>43860</v>
      </c>
      <c r="G34" s="412" t="s">
        <v>449</v>
      </c>
      <c r="H34" s="413"/>
      <c r="I34" s="133" t="s">
        <v>450</v>
      </c>
      <c r="J34" s="10">
        <v>0.5</v>
      </c>
      <c r="K34" s="125" t="s">
        <v>508</v>
      </c>
      <c r="L34" s="120"/>
      <c r="M34" s="120"/>
      <c r="N34" s="342"/>
      <c r="O34" s="354">
        <v>1</v>
      </c>
      <c r="P34" s="314">
        <v>1</v>
      </c>
      <c r="Q34" s="122" t="s">
        <v>987</v>
      </c>
      <c r="R34" s="220" t="s">
        <v>988</v>
      </c>
    </row>
    <row r="35" spans="1:18" ht="165" x14ac:dyDescent="0.25">
      <c r="A35" s="410" t="s">
        <v>488</v>
      </c>
      <c r="B35" s="7">
        <v>14</v>
      </c>
      <c r="C35" s="2" t="s">
        <v>460</v>
      </c>
      <c r="D35" s="114" t="s">
        <v>461</v>
      </c>
      <c r="E35" s="117">
        <v>43497</v>
      </c>
      <c r="F35" s="117">
        <v>43860</v>
      </c>
      <c r="G35" s="412" t="s">
        <v>462</v>
      </c>
      <c r="H35" s="413"/>
      <c r="I35" s="133" t="s">
        <v>451</v>
      </c>
      <c r="J35" s="10">
        <v>0.66</v>
      </c>
      <c r="K35" s="125">
        <v>1</v>
      </c>
      <c r="L35" s="125">
        <v>1</v>
      </c>
      <c r="M35" s="122" t="s">
        <v>534</v>
      </c>
      <c r="N35" s="346" t="s">
        <v>535</v>
      </c>
      <c r="O35" s="349">
        <v>1</v>
      </c>
      <c r="P35" s="125">
        <v>1</v>
      </c>
      <c r="Q35" s="122" t="s">
        <v>1026</v>
      </c>
      <c r="R35" s="223" t="s">
        <v>1025</v>
      </c>
    </row>
    <row r="36" spans="1:18" ht="409.5" x14ac:dyDescent="0.25">
      <c r="A36" s="411"/>
      <c r="B36" s="7">
        <v>15</v>
      </c>
      <c r="C36" s="8" t="s">
        <v>463</v>
      </c>
      <c r="D36" s="114" t="s">
        <v>461</v>
      </c>
      <c r="E36" s="117">
        <v>43497</v>
      </c>
      <c r="F36" s="117">
        <v>43676</v>
      </c>
      <c r="G36" s="414" t="s">
        <v>464</v>
      </c>
      <c r="H36" s="415"/>
      <c r="I36" s="133" t="s">
        <v>451</v>
      </c>
      <c r="J36" s="10">
        <v>0.8</v>
      </c>
      <c r="K36" s="125"/>
      <c r="L36" s="120"/>
      <c r="M36" s="125" t="s">
        <v>663</v>
      </c>
      <c r="N36" s="342"/>
      <c r="O36" s="349"/>
      <c r="P36" s="126">
        <v>0.8</v>
      </c>
      <c r="Q36" s="314" t="s">
        <v>952</v>
      </c>
      <c r="R36" s="218"/>
    </row>
    <row r="37" spans="1:18" ht="127.5" x14ac:dyDescent="0.25">
      <c r="A37" s="410" t="s">
        <v>453</v>
      </c>
      <c r="B37" s="7">
        <v>16</v>
      </c>
      <c r="C37" s="8" t="s">
        <v>490</v>
      </c>
      <c r="D37" s="114" t="s">
        <v>465</v>
      </c>
      <c r="E37" s="117">
        <v>43497</v>
      </c>
      <c r="F37" s="117">
        <v>43646</v>
      </c>
      <c r="G37" s="414" t="s">
        <v>489</v>
      </c>
      <c r="H37" s="427"/>
      <c r="I37" s="133" t="s">
        <v>491</v>
      </c>
      <c r="J37" s="10">
        <v>0</v>
      </c>
      <c r="K37" s="125" t="s">
        <v>648</v>
      </c>
      <c r="L37" s="120"/>
      <c r="M37" s="120"/>
      <c r="N37" s="342"/>
      <c r="O37" s="355">
        <v>1</v>
      </c>
      <c r="P37" s="207">
        <v>0</v>
      </c>
      <c r="Q37" s="338" t="s">
        <v>1012</v>
      </c>
      <c r="R37" s="339"/>
    </row>
    <row r="38" spans="1:18" ht="127.5" x14ac:dyDescent="0.25">
      <c r="A38" s="416"/>
      <c r="B38" s="7">
        <v>17</v>
      </c>
      <c r="C38" s="8" t="s">
        <v>475</v>
      </c>
      <c r="D38" s="114" t="s">
        <v>465</v>
      </c>
      <c r="E38" s="117">
        <v>43497</v>
      </c>
      <c r="F38" s="117">
        <v>43646</v>
      </c>
      <c r="G38" s="414" t="s">
        <v>452</v>
      </c>
      <c r="H38" s="427"/>
      <c r="I38" s="133" t="s">
        <v>491</v>
      </c>
      <c r="J38" s="10">
        <v>0.8</v>
      </c>
      <c r="K38" s="125" t="s">
        <v>648</v>
      </c>
      <c r="L38" s="120"/>
      <c r="M38" s="120"/>
      <c r="N38" s="342"/>
      <c r="O38" s="356">
        <v>1</v>
      </c>
      <c r="P38" s="321">
        <v>0.8</v>
      </c>
      <c r="Q38" s="338" t="s">
        <v>1013</v>
      </c>
      <c r="R38" s="340" t="s">
        <v>1014</v>
      </c>
    </row>
    <row r="39" spans="1:18" ht="135.75" thickBot="1" x14ac:dyDescent="0.3">
      <c r="A39" s="428"/>
      <c r="B39" s="224">
        <v>18</v>
      </c>
      <c r="C39" s="225" t="s">
        <v>492</v>
      </c>
      <c r="D39" s="226" t="s">
        <v>465</v>
      </c>
      <c r="E39" s="227">
        <v>43497</v>
      </c>
      <c r="F39" s="227">
        <v>43829</v>
      </c>
      <c r="G39" s="431" t="s">
        <v>476</v>
      </c>
      <c r="H39" s="432"/>
      <c r="I39" s="228" t="s">
        <v>491</v>
      </c>
      <c r="J39" s="229">
        <v>0.5</v>
      </c>
      <c r="K39" s="230" t="s">
        <v>648</v>
      </c>
      <c r="L39" s="231"/>
      <c r="M39" s="231"/>
      <c r="N39" s="347"/>
      <c r="O39" s="372">
        <v>0.5</v>
      </c>
      <c r="P39" s="372">
        <v>0.5</v>
      </c>
      <c r="Q39" s="373" t="s">
        <v>1046</v>
      </c>
      <c r="R39" s="374" t="s">
        <v>1047</v>
      </c>
    </row>
    <row r="40" spans="1:18" x14ac:dyDescent="0.25">
      <c r="A40" s="3"/>
      <c r="B40" s="15"/>
      <c r="C40" s="3"/>
      <c r="D40" s="3"/>
      <c r="E40" s="15"/>
      <c r="F40" s="15"/>
      <c r="G40" s="417" t="s">
        <v>16</v>
      </c>
      <c r="H40" s="418"/>
      <c r="I40" s="211"/>
      <c r="J40" s="212">
        <f>SUM(J21:J39)/18</f>
        <v>0.59166666666666667</v>
      </c>
    </row>
    <row r="41" spans="1:18" x14ac:dyDescent="0.25">
      <c r="A41" s="15"/>
      <c r="B41" s="15"/>
      <c r="C41" s="15"/>
      <c r="D41" s="16" t="s">
        <v>17</v>
      </c>
      <c r="E41" s="15"/>
      <c r="F41" s="15"/>
      <c r="G41" s="404" t="s">
        <v>18</v>
      </c>
      <c r="H41" s="405"/>
      <c r="I41" s="118"/>
      <c r="J41" s="17">
        <v>1</v>
      </c>
    </row>
    <row r="42" spans="1:18" x14ac:dyDescent="0.25">
      <c r="A42" s="18"/>
      <c r="B42" s="18"/>
      <c r="C42" s="18"/>
      <c r="D42" s="19" t="s">
        <v>19</v>
      </c>
      <c r="E42" s="20" t="s">
        <v>20</v>
      </c>
      <c r="F42" s="21" t="s">
        <v>21</v>
      </c>
      <c r="G42" s="15"/>
      <c r="H42" s="15"/>
      <c r="I42" s="15"/>
      <c r="J42" s="22"/>
    </row>
    <row r="43" spans="1:18" x14ac:dyDescent="0.25">
      <c r="A43" s="23"/>
      <c r="B43" s="18"/>
      <c r="C43" s="18"/>
      <c r="D43" s="19" t="s">
        <v>22</v>
      </c>
      <c r="E43" s="20" t="s">
        <v>23</v>
      </c>
      <c r="F43" s="24" t="s">
        <v>24</v>
      </c>
      <c r="G43" s="15"/>
      <c r="H43" s="15"/>
      <c r="I43" s="15"/>
      <c r="J43" s="4"/>
    </row>
    <row r="44" spans="1:18" x14ac:dyDescent="0.25">
      <c r="A44" s="18"/>
      <c r="B44" s="1"/>
      <c r="C44" s="1"/>
      <c r="D44" s="19" t="s">
        <v>25</v>
      </c>
      <c r="E44" s="19" t="s">
        <v>26</v>
      </c>
      <c r="F44" s="25" t="s">
        <v>27</v>
      </c>
      <c r="G44" s="15"/>
      <c r="H44" s="15"/>
      <c r="I44" s="15"/>
      <c r="J44" s="22"/>
    </row>
    <row r="45" spans="1:18" x14ac:dyDescent="0.25">
      <c r="A45" s="13"/>
      <c r="B45" s="13"/>
      <c r="C45" s="13"/>
      <c r="D45" s="26"/>
      <c r="E45" s="26"/>
      <c r="F45" s="26"/>
      <c r="G45" s="15"/>
      <c r="H45" s="15"/>
      <c r="I45" s="15"/>
      <c r="J45" s="22"/>
    </row>
    <row r="46" spans="1:18" x14ac:dyDescent="0.25">
      <c r="A46" s="13"/>
      <c r="B46" s="13"/>
      <c r="C46" s="13"/>
      <c r="E46" s="26"/>
      <c r="F46" s="26"/>
      <c r="G46" s="15"/>
      <c r="H46" s="15"/>
      <c r="I46" s="15"/>
      <c r="J46" s="22"/>
    </row>
    <row r="47" spans="1:18" ht="38.25" customHeight="1" x14ac:dyDescent="0.25">
      <c r="A47" s="425" t="s">
        <v>442</v>
      </c>
      <c r="B47" s="425"/>
      <c r="C47" s="425"/>
      <c r="D47" s="425"/>
      <c r="E47" s="425"/>
      <c r="F47" s="425"/>
      <c r="G47" s="425"/>
      <c r="H47" s="425"/>
      <c r="I47" s="425"/>
      <c r="J47" s="425"/>
      <c r="K47" s="425"/>
      <c r="L47" s="425"/>
      <c r="M47" s="425"/>
      <c r="N47" s="425"/>
    </row>
    <row r="49" spans="1:14" ht="46.5" customHeight="1" x14ac:dyDescent="0.25">
      <c r="A49" s="425" t="s">
        <v>441</v>
      </c>
      <c r="B49" s="425"/>
      <c r="C49" s="425"/>
      <c r="D49" s="425"/>
      <c r="E49" s="425"/>
      <c r="F49" s="425"/>
      <c r="G49" s="425"/>
      <c r="H49" s="425"/>
      <c r="I49" s="425"/>
      <c r="J49" s="425"/>
      <c r="K49" s="425"/>
      <c r="L49" s="425"/>
      <c r="M49" s="425"/>
      <c r="N49" s="425"/>
    </row>
  </sheetData>
  <mergeCells count="47">
    <mergeCell ref="O18:R18"/>
    <mergeCell ref="A47:N47"/>
    <mergeCell ref="A49:N49"/>
    <mergeCell ref="G29:H29"/>
    <mergeCell ref="B19:C19"/>
    <mergeCell ref="G19:H19"/>
    <mergeCell ref="G30:H30"/>
    <mergeCell ref="G37:H37"/>
    <mergeCell ref="A37:A39"/>
    <mergeCell ref="G38:H38"/>
    <mergeCell ref="G31:H31"/>
    <mergeCell ref="G32:H32"/>
    <mergeCell ref="G33:H33"/>
    <mergeCell ref="A30:A34"/>
    <mergeCell ref="G34:H34"/>
    <mergeCell ref="G39:H39"/>
    <mergeCell ref="G41:H41"/>
    <mergeCell ref="A18:J18"/>
    <mergeCell ref="K18:N18"/>
    <mergeCell ref="A35:A36"/>
    <mergeCell ref="G35:H35"/>
    <mergeCell ref="G36:H36"/>
    <mergeCell ref="A21:A27"/>
    <mergeCell ref="G21:H21"/>
    <mergeCell ref="G22:H22"/>
    <mergeCell ref="G23:H23"/>
    <mergeCell ref="G24:H24"/>
    <mergeCell ref="G40:H40"/>
    <mergeCell ref="G25:H25"/>
    <mergeCell ref="G26:H26"/>
    <mergeCell ref="G27:H27"/>
    <mergeCell ref="C28:I28"/>
    <mergeCell ref="A1:R3"/>
    <mergeCell ref="A5:R5"/>
    <mergeCell ref="A17:R17"/>
    <mergeCell ref="A8:R8"/>
    <mergeCell ref="A7:R7"/>
    <mergeCell ref="A6:R6"/>
    <mergeCell ref="B4:R4"/>
    <mergeCell ref="A16:R16"/>
    <mergeCell ref="A14:R14"/>
    <mergeCell ref="A15:R15"/>
    <mergeCell ref="A12:R12"/>
    <mergeCell ref="A10:R10"/>
    <mergeCell ref="A9:R9"/>
    <mergeCell ref="A11:R11"/>
    <mergeCell ref="A13:R13"/>
  </mergeCells>
  <conditionalFormatting sqref="J21:J27 J29:J41">
    <cfRule type="cellIs" dxfId="339" priority="1" operator="between">
      <formula>0.8</formula>
      <formula>1</formula>
    </cfRule>
    <cfRule type="cellIs" dxfId="338" priority="2" operator="between">
      <formula>0.6</formula>
      <formula>0.79</formula>
    </cfRule>
    <cfRule type="cellIs" dxfId="337" priority="3" operator="between">
      <formula>0</formula>
      <formula>0.59</formula>
    </cfRule>
  </conditionalFormatting>
  <pageMargins left="0.25" right="0.25" top="0.75" bottom="0.75" header="0.3" footer="0.3"/>
  <pageSetup paperSize="125" scale="55"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49"/>
  <sheetViews>
    <sheetView zoomScale="85" zoomScaleNormal="85" workbookViewId="0">
      <pane xSplit="1" ySplit="9" topLeftCell="B10" activePane="bottomRight" state="frozen"/>
      <selection pane="topRight" activeCell="B1" sqref="B1"/>
      <selection pane="bottomLeft" activeCell="A10" sqref="A10"/>
      <selection pane="bottomRight" activeCell="D4" sqref="D1:G1048576"/>
    </sheetView>
  </sheetViews>
  <sheetFormatPr baseColWidth="10" defaultRowHeight="15" x14ac:dyDescent="0.25"/>
  <cols>
    <col min="1" max="1" width="14.7109375" customWidth="1"/>
    <col min="2" max="2" width="7.42578125" customWidth="1"/>
    <col min="3" max="5" width="0" hidden="1" customWidth="1"/>
    <col min="6" max="6" width="15" hidden="1" customWidth="1"/>
    <col min="7" max="7" width="22.28515625" hidden="1" customWidth="1"/>
    <col min="8" max="8" width="13.140625" customWidth="1"/>
    <col min="9" max="9" width="12.85546875" customWidth="1"/>
    <col min="11" max="11" width="7.7109375" customWidth="1"/>
    <col min="12" max="12" width="8.140625" customWidth="1"/>
    <col min="13" max="13" width="6.140625" customWidth="1"/>
    <col min="15" max="15" width="33" customWidth="1"/>
    <col min="17" max="19" width="0" hidden="1" customWidth="1"/>
    <col min="20" max="20" width="4.7109375" hidden="1" customWidth="1"/>
    <col min="21" max="21" width="0" hidden="1" customWidth="1"/>
    <col min="22" max="22" width="7.140625" hidden="1" customWidth="1"/>
    <col min="23" max="23" width="0" hidden="1" customWidth="1"/>
    <col min="24" max="24" width="6.28515625" hidden="1" customWidth="1"/>
    <col min="25" max="25" width="0" hidden="1" customWidth="1"/>
    <col min="26" max="26" width="8.140625" hidden="1" customWidth="1"/>
    <col min="27" max="27" width="0" hidden="1" customWidth="1"/>
    <col min="28" max="28" width="6.7109375" hidden="1" customWidth="1"/>
    <col min="29" max="29" width="0" hidden="1" customWidth="1"/>
    <col min="30" max="30" width="7.28515625" hidden="1" customWidth="1"/>
    <col min="31" max="31" width="0" hidden="1" customWidth="1"/>
    <col min="32" max="32" width="7.140625" hidden="1" customWidth="1"/>
    <col min="33" max="33" width="9.140625" customWidth="1"/>
    <col min="34" max="34" width="8.42578125" hidden="1" customWidth="1"/>
    <col min="35" max="36" width="0" hidden="1" customWidth="1"/>
    <col min="40" max="40" width="28.5703125" customWidth="1"/>
    <col min="41" max="41" width="20" hidden="1" customWidth="1"/>
  </cols>
  <sheetData>
    <row r="1" spans="1:44" s="251" customFormat="1" ht="30" hidden="1" customHeight="1" x14ac:dyDescent="0.25">
      <c r="A1" s="470"/>
      <c r="B1" s="470"/>
      <c r="C1" s="470"/>
      <c r="D1" s="479" t="s">
        <v>679</v>
      </c>
      <c r="E1" s="479"/>
      <c r="F1" s="479"/>
      <c r="G1" s="479"/>
      <c r="H1" s="479"/>
      <c r="I1" s="479"/>
      <c r="J1" s="479"/>
      <c r="K1" s="479"/>
      <c r="L1" s="479"/>
      <c r="M1" s="480" t="s">
        <v>680</v>
      </c>
      <c r="N1" s="480"/>
      <c r="O1" s="480"/>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50"/>
      <c r="AQ1" s="250"/>
      <c r="AR1" s="250"/>
    </row>
    <row r="2" spans="1:44" s="251" customFormat="1" ht="30" hidden="1" customHeight="1" x14ac:dyDescent="0.25">
      <c r="A2" s="470"/>
      <c r="B2" s="470"/>
      <c r="C2" s="470"/>
      <c r="D2" s="481" t="s">
        <v>681</v>
      </c>
      <c r="E2" s="482"/>
      <c r="F2" s="482"/>
      <c r="G2" s="482"/>
      <c r="H2" s="482"/>
      <c r="I2" s="482"/>
      <c r="J2" s="482"/>
      <c r="K2" s="482"/>
      <c r="L2" s="483"/>
      <c r="M2" s="480" t="s">
        <v>682</v>
      </c>
      <c r="N2" s="480"/>
      <c r="O2" s="480"/>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50"/>
      <c r="AQ2" s="250"/>
      <c r="AR2" s="250"/>
    </row>
    <row r="3" spans="1:44" s="251" customFormat="1" ht="30" hidden="1" customHeight="1" x14ac:dyDescent="0.25">
      <c r="A3" s="470"/>
      <c r="B3" s="470"/>
      <c r="C3" s="470"/>
      <c r="D3" s="484"/>
      <c r="E3" s="485"/>
      <c r="F3" s="485"/>
      <c r="G3" s="485"/>
      <c r="H3" s="485"/>
      <c r="I3" s="485"/>
      <c r="J3" s="485"/>
      <c r="K3" s="485"/>
      <c r="L3" s="486"/>
      <c r="M3" s="480" t="s">
        <v>683</v>
      </c>
      <c r="N3" s="480"/>
      <c r="O3" s="480"/>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50"/>
      <c r="AQ3" s="250"/>
      <c r="AR3" s="250"/>
    </row>
    <row r="4" spans="1:44" hidden="1" x14ac:dyDescent="0.25"/>
    <row r="5" spans="1:44" hidden="1" x14ac:dyDescent="0.25"/>
    <row r="7" spans="1:44" ht="30.75" customHeight="1" x14ac:dyDescent="0.25">
      <c r="A7" s="465" t="s">
        <v>38</v>
      </c>
      <c r="B7" s="252"/>
      <c r="C7" s="471" t="s">
        <v>684</v>
      </c>
      <c r="D7" s="472"/>
      <c r="E7" s="472"/>
      <c r="F7" s="473" t="s">
        <v>33</v>
      </c>
      <c r="G7" s="473"/>
      <c r="H7" s="473"/>
      <c r="I7" s="473"/>
      <c r="J7" s="474"/>
      <c r="K7" s="487" t="s">
        <v>685</v>
      </c>
      <c r="L7" s="488"/>
      <c r="M7" s="488"/>
      <c r="N7" s="489"/>
      <c r="O7" s="475" t="s">
        <v>686</v>
      </c>
      <c r="P7" s="476"/>
      <c r="Q7" s="476"/>
      <c r="R7" s="476"/>
      <c r="S7" s="476"/>
      <c r="T7" s="476"/>
      <c r="U7" s="476"/>
      <c r="V7" s="476"/>
      <c r="W7" s="476"/>
      <c r="X7" s="476"/>
      <c r="Y7" s="476"/>
      <c r="Z7" s="476"/>
      <c r="AA7" s="476"/>
      <c r="AB7" s="476"/>
      <c r="AC7" s="476"/>
      <c r="AD7" s="476"/>
      <c r="AE7" s="476"/>
      <c r="AF7" s="476"/>
      <c r="AG7" s="476"/>
      <c r="AH7" s="476"/>
      <c r="AI7" s="477" t="s">
        <v>687</v>
      </c>
      <c r="AJ7" s="477"/>
      <c r="AK7" s="477"/>
      <c r="AL7" s="477"/>
      <c r="AM7" s="478" t="s">
        <v>688</v>
      </c>
      <c r="AN7" s="478"/>
      <c r="AO7" s="478"/>
      <c r="AP7" s="478"/>
      <c r="AQ7" s="478"/>
      <c r="AR7" s="478"/>
    </row>
    <row r="8" spans="1:44" s="254" customFormat="1" ht="12" customHeight="1" x14ac:dyDescent="0.2">
      <c r="A8" s="465"/>
      <c r="B8" s="467" t="s">
        <v>689</v>
      </c>
      <c r="C8" s="469" t="s">
        <v>690</v>
      </c>
      <c r="D8" s="467" t="s">
        <v>691</v>
      </c>
      <c r="E8" s="467"/>
      <c r="F8" s="467" t="s">
        <v>692</v>
      </c>
      <c r="G8" s="467" t="s">
        <v>693</v>
      </c>
      <c r="H8" s="467" t="s">
        <v>41</v>
      </c>
      <c r="I8" s="467" t="s">
        <v>694</v>
      </c>
      <c r="J8" s="467" t="s">
        <v>695</v>
      </c>
      <c r="K8" s="468" t="s">
        <v>696</v>
      </c>
      <c r="L8" s="467" t="s">
        <v>55</v>
      </c>
      <c r="M8" s="467" t="s">
        <v>697</v>
      </c>
      <c r="N8" s="467"/>
      <c r="O8" s="467" t="s">
        <v>698</v>
      </c>
      <c r="P8" s="468" t="s">
        <v>699</v>
      </c>
      <c r="Q8" s="468" t="s">
        <v>700</v>
      </c>
      <c r="R8" s="468" t="s">
        <v>701</v>
      </c>
      <c r="S8" s="468" t="s">
        <v>702</v>
      </c>
      <c r="T8" s="468"/>
      <c r="U8" s="468"/>
      <c r="V8" s="468"/>
      <c r="W8" s="468"/>
      <c r="X8" s="468"/>
      <c r="Y8" s="468"/>
      <c r="Z8" s="468"/>
      <c r="AA8" s="468"/>
      <c r="AB8" s="468"/>
      <c r="AC8" s="468"/>
      <c r="AD8" s="468"/>
      <c r="AE8" s="468"/>
      <c r="AF8" s="468"/>
      <c r="AG8" s="490" t="s">
        <v>703</v>
      </c>
      <c r="AH8" s="491" t="s">
        <v>704</v>
      </c>
      <c r="AI8" s="469" t="s">
        <v>705</v>
      </c>
      <c r="AJ8" s="467" t="s">
        <v>706</v>
      </c>
      <c r="AK8" s="467" t="s">
        <v>707</v>
      </c>
      <c r="AL8" s="467"/>
      <c r="AM8" s="467" t="s">
        <v>708</v>
      </c>
      <c r="AN8" s="467" t="s">
        <v>709</v>
      </c>
      <c r="AO8" s="467" t="s">
        <v>710</v>
      </c>
      <c r="AP8" s="467" t="s">
        <v>5</v>
      </c>
      <c r="AQ8" s="467" t="s">
        <v>711</v>
      </c>
      <c r="AR8" s="467" t="s">
        <v>13</v>
      </c>
    </row>
    <row r="9" spans="1:44" s="254" customFormat="1" ht="75.75" customHeight="1" x14ac:dyDescent="0.2">
      <c r="A9" s="465"/>
      <c r="B9" s="467" t="s">
        <v>712</v>
      </c>
      <c r="C9" s="469"/>
      <c r="D9" s="255" t="s">
        <v>713</v>
      </c>
      <c r="E9" s="255" t="s">
        <v>714</v>
      </c>
      <c r="F9" s="467"/>
      <c r="G9" s="467"/>
      <c r="H9" s="467"/>
      <c r="I9" s="467"/>
      <c r="J9" s="467"/>
      <c r="K9" s="468"/>
      <c r="L9" s="467"/>
      <c r="M9" s="467"/>
      <c r="N9" s="467"/>
      <c r="O9" s="467"/>
      <c r="P9" s="468"/>
      <c r="Q9" s="468"/>
      <c r="R9" s="468"/>
      <c r="S9" s="468" t="s">
        <v>715</v>
      </c>
      <c r="T9" s="468"/>
      <c r="U9" s="468" t="s">
        <v>716</v>
      </c>
      <c r="V9" s="468"/>
      <c r="W9" s="468" t="s">
        <v>717</v>
      </c>
      <c r="X9" s="468"/>
      <c r="Y9" s="468" t="s">
        <v>718</v>
      </c>
      <c r="Z9" s="468"/>
      <c r="AA9" s="468" t="s">
        <v>719</v>
      </c>
      <c r="AB9" s="468"/>
      <c r="AC9" s="468" t="s">
        <v>720</v>
      </c>
      <c r="AD9" s="468"/>
      <c r="AE9" s="468" t="s">
        <v>721</v>
      </c>
      <c r="AF9" s="468"/>
      <c r="AG9" s="490"/>
      <c r="AH9" s="491"/>
      <c r="AI9" s="469"/>
      <c r="AJ9" s="467"/>
      <c r="AK9" s="467"/>
      <c r="AL9" s="467"/>
      <c r="AM9" s="467"/>
      <c r="AN9" s="467"/>
      <c r="AO9" s="467"/>
      <c r="AP9" s="467"/>
      <c r="AQ9" s="467"/>
      <c r="AR9" s="467"/>
    </row>
    <row r="10" spans="1:44" ht="202.5" x14ac:dyDescent="0.25">
      <c r="A10" s="260" t="s">
        <v>722</v>
      </c>
      <c r="B10" s="261">
        <v>1</v>
      </c>
      <c r="C10" s="262"/>
      <c r="D10" s="263" t="s">
        <v>724</v>
      </c>
      <c r="E10" s="263"/>
      <c r="F10" s="263" t="s">
        <v>779</v>
      </c>
      <c r="G10" s="257" t="s">
        <v>854</v>
      </c>
      <c r="H10" s="258" t="s">
        <v>855</v>
      </c>
      <c r="I10" s="259" t="s">
        <v>856</v>
      </c>
      <c r="J10" s="257" t="s">
        <v>727</v>
      </c>
      <c r="K10" s="264">
        <v>3</v>
      </c>
      <c r="L10" s="263">
        <v>4</v>
      </c>
      <c r="M10" s="265">
        <f>K10*L10</f>
        <v>12</v>
      </c>
      <c r="N10" s="266" t="str">
        <f>IF(AND(K10=1,L10=1),"BAJO",IF(AND(K10=1,L10=2),"BAJO",IF(AND(K10=2,L10=1),"BAJO",IF(AND(K10=2,L10=2),"BAJO",IF(AND(K10=3,L10=1),"BAJO",IF(AND(K10=1,L10=3),"MODERADO",IF(AND(K10=2,L10=3),"MODERADO",IF(AND(K10=3,L10=2),"MODERADO",IF(AND(K10=4,L10=1),"MODERADO",IF(AND(K10=5,L10=1),"ALTO",IF(AND(K10=4,L10=2),"ALTO",IF(AND(K10=3,L10=3),"ALTO",IF(AND(K10=2,L10=4),"ALTO",IF(AND(K10=1,L10=4),"ALTO",IF(AND(K10=5,L10=2),"ALTO",IF(AND(K10=4,L10=3),"ALTO","EXTREMO"))))))))))))))))</f>
        <v>EXTREMO</v>
      </c>
      <c r="O10" s="267" t="s">
        <v>857</v>
      </c>
      <c r="P10" s="261" t="s">
        <v>729</v>
      </c>
      <c r="Q10" s="268" t="s">
        <v>730</v>
      </c>
      <c r="R10" s="268" t="s">
        <v>730</v>
      </c>
      <c r="S10" s="269" t="s">
        <v>732</v>
      </c>
      <c r="T10" s="270">
        <f>IF(S10="Asignado",[1]Listas!$C$30,[1]Listas!$C$31)</f>
        <v>15</v>
      </c>
      <c r="U10" s="269" t="s">
        <v>733</v>
      </c>
      <c r="V10" s="270">
        <f>IF(U10="Adecuado",[1]Listas!$C$32,[1]Listas!$C$33)</f>
        <v>15</v>
      </c>
      <c r="W10" s="269" t="s">
        <v>734</v>
      </c>
      <c r="X10" s="270">
        <f>IF(W10="Oportuna",[1]Listas!$C$34,[1]Listas!$C$35)</f>
        <v>15</v>
      </c>
      <c r="Y10" s="269" t="s">
        <v>735</v>
      </c>
      <c r="Z10" s="270">
        <f>IF(Y10="Prevenir",[1]Listas!$C$36,IF(Y10="Detectar",[1]Listas!$C$37,[1]Listas!$C$38))</f>
        <v>15</v>
      </c>
      <c r="AA10" s="269" t="s">
        <v>736</v>
      </c>
      <c r="AB10" s="270">
        <f>IF(AA10="Confiable",[1]Listas!$C$39,[1]Listas!$C$40)</f>
        <v>15</v>
      </c>
      <c r="AC10" s="269" t="s">
        <v>737</v>
      </c>
      <c r="AD10" s="270">
        <f>IF(AC10="Se investigan y resuelven oportunamente",[1]Listas!$C$41,[1]Listas!$C$42)</f>
        <v>15</v>
      </c>
      <c r="AE10" s="269" t="s">
        <v>738</v>
      </c>
      <c r="AF10" s="270">
        <f>IF(AE10="Completa",[1]Listas!$C$43,IF(AE10="Incompleta",[1]Listas!$C$44,[1]Listas!$C$45))</f>
        <v>10</v>
      </c>
      <c r="AG10" s="261">
        <f>T10+V10+X10+Z10+AB10+AD10+AF10</f>
        <v>100</v>
      </c>
      <c r="AH10" s="263">
        <f>AVERAGE(AG10:AG10)</f>
        <v>100</v>
      </c>
      <c r="AI10" s="264">
        <v>1</v>
      </c>
      <c r="AJ10" s="263">
        <v>3</v>
      </c>
      <c r="AK10" s="265">
        <f>AI10*AJ10</f>
        <v>3</v>
      </c>
      <c r="AL10" s="271" t="str">
        <f>IF(AND(AI10=1,AJ10=1),"BAJO",IF(AND(AI10=1,AJ10=2),"BAJO",IF(AND(AI10=2,AJ10=1),"BAJO",IF(AND(AI10=2,AJ10=2),"BAJO",IF(AND(AI10=3,AJ10=1),"BAJO",IF(AND(AI10=1,AJ10=3),"MODERADO",IF(AND(AI10=2,AJ10=3),"MODERADO",IF(AND(AI10=3,AJ10=2),"MODERADO",IF(AND(AI10=4,AJ10=1),"MODERADO",IF(AND(AI10=5,AJ10=1),"ALTO",IF(AND(AI10=4,AJ10=2),"ALTO",IF(AND(AI10=3,AJ10=3),"ALTO",IF(AND(AI10=2,AJ10=4),"ALTO",IF(AND(AI10=1,AJ10=4),"ALTO",IF(AND(AI10=5,AJ10=2),"ALTO",IF(AND(AI10=4,AJ10=3),"ALTO","EXTREMO"))))))))))))))))</f>
        <v>MODERADO</v>
      </c>
      <c r="AM10" s="269" t="s">
        <v>858</v>
      </c>
      <c r="AN10" s="272" t="s">
        <v>859</v>
      </c>
      <c r="AO10" s="272" t="s">
        <v>860</v>
      </c>
      <c r="AP10" s="272" t="s">
        <v>861</v>
      </c>
      <c r="AQ10" s="273" t="s">
        <v>862</v>
      </c>
      <c r="AR10" s="272" t="s">
        <v>863</v>
      </c>
    </row>
    <row r="11" spans="1:44" ht="148.5" x14ac:dyDescent="0.25">
      <c r="A11" s="260" t="s">
        <v>96</v>
      </c>
      <c r="B11" s="261">
        <v>1</v>
      </c>
      <c r="C11" s="262"/>
      <c r="D11" s="268"/>
      <c r="E11" s="268" t="s">
        <v>778</v>
      </c>
      <c r="F11" s="259" t="s">
        <v>864</v>
      </c>
      <c r="G11" s="274" t="s">
        <v>865</v>
      </c>
      <c r="H11" s="275" t="s">
        <v>866</v>
      </c>
      <c r="I11" s="275" t="s">
        <v>867</v>
      </c>
      <c r="J11" s="257" t="s">
        <v>727</v>
      </c>
      <c r="K11" s="264">
        <v>3</v>
      </c>
      <c r="L11" s="263">
        <v>4</v>
      </c>
      <c r="M11" s="265">
        <f>K11*L11</f>
        <v>12</v>
      </c>
      <c r="N11" s="266" t="str">
        <f>IF(AND(K11=1,L11=1),"BAJO",IF(AND(K11=1,L11=2),"BAJO",IF(AND(K11=2,L11=1),"BAJO",IF(AND(K11=2,L11=2),"BAJO",IF(AND(K11=3,L11=1),"BAJO",IF(AND(K11=1,L11=3),"MODERADO",IF(AND(K11=2,L11=3),"MODERADO",IF(AND(K11=3,L11=2),"MODERADO",IF(AND(K11=4,L11=1),"MODERADO",IF(AND(K11=5,L11=1),"ALTO",IF(AND(K11=4,L11=2),"ALTO",IF(AND(K11=3,L11=3),"ALTO",IF(AND(K11=2,L11=4),"ALTO",IF(AND(K11=1,L11=4),"ALTO",IF(AND(K11=5,L11=2),"ALTO",IF(AND(K11=4,L11=3),"ALTO","EXTREMO"))))))))))))))))</f>
        <v>EXTREMO</v>
      </c>
      <c r="O11" s="272" t="s">
        <v>868</v>
      </c>
      <c r="P11" s="261" t="s">
        <v>729</v>
      </c>
      <c r="Q11" s="268" t="s">
        <v>730</v>
      </c>
      <c r="R11" s="268" t="s">
        <v>730</v>
      </c>
      <c r="S11" s="269" t="s">
        <v>732</v>
      </c>
      <c r="T11" s="270">
        <f>IF(S11="Asignado",[2]Listas!$C$30,[2]Listas!$C$31)</f>
        <v>15</v>
      </c>
      <c r="U11" s="269" t="s">
        <v>733</v>
      </c>
      <c r="V11" s="270">
        <f>IF(U11="Adecuado",[2]Listas!$C$32,[2]Listas!$C$33)</f>
        <v>15</v>
      </c>
      <c r="W11" s="269" t="s">
        <v>734</v>
      </c>
      <c r="X11" s="270">
        <f>IF(W11="Oportuna",[2]Listas!$C$34,[2]Listas!$C$35)</f>
        <v>15</v>
      </c>
      <c r="Y11" s="269" t="s">
        <v>808</v>
      </c>
      <c r="Z11" s="270">
        <f>IF(Y11="Prevenir",[2]Listas!$C$36,IF(Y11="Detectar",[2]Listas!$C$37,[2]Listas!$C$38))</f>
        <v>10</v>
      </c>
      <c r="AA11" s="269" t="s">
        <v>736</v>
      </c>
      <c r="AB11" s="270">
        <f>IF(AA11="Confiable",[2]Listas!$C$39,[2]Listas!$C$40)</f>
        <v>15</v>
      </c>
      <c r="AC11" s="269" t="s">
        <v>737</v>
      </c>
      <c r="AD11" s="270">
        <f>IF(AC11="Se investigan y resuelven oportunamente",[2]Listas!$C$41,[2]Listas!$C$42)</f>
        <v>15</v>
      </c>
      <c r="AE11" s="269" t="s">
        <v>738</v>
      </c>
      <c r="AF11" s="270">
        <f>IF(AE11="Completa",[2]Listas!$C$43,IF(AE11="Incompleta",[2]Listas!$C$44,[2]Listas!$C$45))</f>
        <v>10</v>
      </c>
      <c r="AG11" s="261">
        <f>T11+V11+X11+Z11+AB11+AD11+AF11</f>
        <v>95</v>
      </c>
      <c r="AH11" s="263">
        <f>AVERAGE(AG11:AG11)</f>
        <v>95</v>
      </c>
      <c r="AI11" s="264">
        <v>2</v>
      </c>
      <c r="AJ11" s="263">
        <v>3</v>
      </c>
      <c r="AK11" s="265">
        <f>AI11*AJ11</f>
        <v>6</v>
      </c>
      <c r="AL11" s="271" t="str">
        <f>IF(AND(AI11=1,AJ11=1),"BAJO",IF(AND(AI11=1,AJ11=2),"BAJO",IF(AND(AI11=2,AJ11=1),"BAJO",IF(AND(AI11=2,AJ11=2),"BAJO",IF(AND(AI11=3,AJ11=1),"BAJO",IF(AND(AI11=1,AJ11=3),"MODERADO",IF(AND(AI11=2,AJ11=3),"MODERADO",IF(AND(AI11=3,AJ11=2),"MODERADO",IF(AND(AI11=4,AJ11=1),"MODERADO",IF(AND(AI11=5,AJ11=1),"ALTO",IF(AND(AI11=4,AJ11=2),"ALTO",IF(AND(AI11=3,AJ11=3),"ALTO",IF(AND(AI11=2,AJ11=4),"ALTO",IF(AND(AI11=1,AJ11=4),"ALTO",IF(AND(AI11=5,AJ11=2),"ALTO",IF(AND(AI11=4,AJ11=3),"ALTO","EXTREMO"))))))))))))))))</f>
        <v>MODERADO</v>
      </c>
      <c r="AM11" s="269" t="s">
        <v>785</v>
      </c>
      <c r="AN11" s="272" t="s">
        <v>869</v>
      </c>
      <c r="AO11" s="272" t="s">
        <v>870</v>
      </c>
      <c r="AP11" s="272" t="s">
        <v>871</v>
      </c>
      <c r="AQ11" s="273" t="s">
        <v>872</v>
      </c>
      <c r="AR11" s="272" t="s">
        <v>873</v>
      </c>
    </row>
    <row r="12" spans="1:44" ht="67.5" x14ac:dyDescent="0.25">
      <c r="A12" s="457" t="s">
        <v>767</v>
      </c>
      <c r="B12" s="440">
        <v>4</v>
      </c>
      <c r="C12" s="277"/>
      <c r="D12" s="268" t="s">
        <v>724</v>
      </c>
      <c r="E12" s="268"/>
      <c r="F12" s="268"/>
      <c r="G12" s="267" t="s">
        <v>725</v>
      </c>
      <c r="H12" s="455" t="s">
        <v>128</v>
      </c>
      <c r="I12" s="455" t="s">
        <v>726</v>
      </c>
      <c r="J12" s="443" t="s">
        <v>727</v>
      </c>
      <c r="K12" s="441">
        <v>3</v>
      </c>
      <c r="L12" s="440">
        <v>5</v>
      </c>
      <c r="M12" s="438">
        <f t="shared" ref="M12" si="0">K12*L12</f>
        <v>15</v>
      </c>
      <c r="N12" s="445" t="str">
        <f t="shared" ref="N12" si="1">IF(AND(K12=1,L12=1),"BAJO",IF(AND(K12=1,L12=2),"BAJO",IF(AND(K12=2,L12=1),"BAJO",IF(AND(K12=2,L12=2),"BAJO",IF(AND(K12=3,L12=1),"BAJO",IF(AND(K12=1,L12=3),"MODERADO",IF(AND(K12=2,L12=3),"MODERADO",IF(AND(K12=3,L12=2),"MODERADO",IF(AND(K12=4,L12=1),"MODERADO",IF(AND(K12=5,L12=1),"ALTO",IF(AND(K12=4,L12=2),"ALTO",IF(AND(K12=3,L12=3),"ALTO",IF(AND(K12=2,L12=4),"ALTO",IF(AND(K12=1,L12=4),"ALTO",IF(AND(K12=5,L12=2),"ALTO",IF(AND(K12=4,L12=3),"ALTO","EXTREMO"))))))))))))))))</f>
        <v>EXTREMO</v>
      </c>
      <c r="O12" s="457" t="s">
        <v>728</v>
      </c>
      <c r="P12" s="440" t="s">
        <v>729</v>
      </c>
      <c r="Q12" s="436" t="s">
        <v>730</v>
      </c>
      <c r="R12" s="436" t="s">
        <v>731</v>
      </c>
      <c r="S12" s="433" t="s">
        <v>732</v>
      </c>
      <c r="T12" s="433">
        <f>IF(S12="Asignado",[3]Listas!$C$30,[3]Listas!$C$31)</f>
        <v>15</v>
      </c>
      <c r="U12" s="433" t="s">
        <v>733</v>
      </c>
      <c r="V12" s="433">
        <f>IF(U12="Adecuado",[3]Listas!$C$32,[3]Listas!$C$33)</f>
        <v>15</v>
      </c>
      <c r="W12" s="433" t="s">
        <v>734</v>
      </c>
      <c r="X12" s="433">
        <f>IF(W12="Oportuna",[3]Listas!$C$34,[3]Listas!$C$35)</f>
        <v>15</v>
      </c>
      <c r="Y12" s="433" t="s">
        <v>735</v>
      </c>
      <c r="Z12" s="433">
        <f>IF(Y12="Prevenir",[3]Listas!$C$36,IF(Y12="Detectar",[3]Listas!$C$37,[3]Listas!$C$38))</f>
        <v>15</v>
      </c>
      <c r="AA12" s="433" t="s">
        <v>736</v>
      </c>
      <c r="AB12" s="433">
        <f>IF(AA12="Confiable",[3]Listas!$C$39,[3]Listas!$C$40)</f>
        <v>15</v>
      </c>
      <c r="AC12" s="433" t="s">
        <v>737</v>
      </c>
      <c r="AD12" s="433">
        <f>IF(AC12="Se investigan y resuelven oportunamente",[3]Listas!$C$41,[3]Listas!$C$42)</f>
        <v>15</v>
      </c>
      <c r="AE12" s="433" t="s">
        <v>738</v>
      </c>
      <c r="AF12" s="433">
        <f>IF(AE12="Completa",[3]Listas!$C$43,IF(AE12="Incompleta",[3]Listas!$C$44,[3]Listas!$C$45))</f>
        <v>10</v>
      </c>
      <c r="AG12" s="440">
        <f t="shared" ref="AG12:AG16" si="2">T12+V12+X12+Z12+AB12+AD12+AF12</f>
        <v>100</v>
      </c>
      <c r="AH12" s="440">
        <f>AVERAGE(AG12:AG14)</f>
        <v>100</v>
      </c>
      <c r="AI12" s="441">
        <v>1</v>
      </c>
      <c r="AJ12" s="440">
        <v>5</v>
      </c>
      <c r="AK12" s="438">
        <f>+AI12*AJ12</f>
        <v>5</v>
      </c>
      <c r="AL12" s="445" t="str">
        <f>IF(AND(AI12=1,AJ12=1),"BAJO",IF(AND(AI12=1,AJ12=2),"BAJO",IF(AND(AI12=2,AJ12=1),"BAJO",IF(AND(AI12=2,AJ12=2),"BAJO",IF(AND(AI12=3,AJ12=1),"BAJO",IF(AND(AI12=1,AJ12=3),"MODERADO",IF(AND(AI12=2,AJ12=3),"MODERADO",IF(AND(AI12=3,AJ12=2),"MODERADO",IF(AND(AI12=4,AJ12=1),"MODERADO",IF(AND(AI12=5,AJ12=1),"ALTO",IF(AND(AI12=4,AJ12=2),"ALTO",IF(AND(AI12=3,AJ12=3),"ALTO",IF(AND(AI12=2,AJ12=4),"ALTO",IF(AND(AI12=1,AJ12=4),"ALTO",IF(AND(AI12=5,AJ12=2),"ALTO",IF(AND(AI12=4,AJ12=3),"ALTO","EXTREMO"))))))))))))))))</f>
        <v>EXTREMO</v>
      </c>
      <c r="AM12" s="433" t="s">
        <v>739</v>
      </c>
      <c r="AN12" s="459" t="s">
        <v>740</v>
      </c>
      <c r="AO12" s="459" t="s">
        <v>741</v>
      </c>
      <c r="AP12" s="459" t="s">
        <v>742</v>
      </c>
      <c r="AQ12" s="459" t="s">
        <v>743</v>
      </c>
      <c r="AR12" s="460" t="s">
        <v>744</v>
      </c>
    </row>
    <row r="13" spans="1:44" ht="40.5" x14ac:dyDescent="0.25">
      <c r="A13" s="457"/>
      <c r="B13" s="440"/>
      <c r="C13" s="277"/>
      <c r="D13" s="268" t="s">
        <v>745</v>
      </c>
      <c r="E13" s="268"/>
      <c r="F13" s="268"/>
      <c r="G13" s="267" t="s">
        <v>746</v>
      </c>
      <c r="H13" s="455"/>
      <c r="I13" s="455"/>
      <c r="J13" s="443"/>
      <c r="K13" s="441"/>
      <c r="L13" s="440"/>
      <c r="M13" s="438"/>
      <c r="N13" s="445"/>
      <c r="O13" s="457"/>
      <c r="P13" s="440"/>
      <c r="Q13" s="436"/>
      <c r="R13" s="436"/>
      <c r="S13" s="433"/>
      <c r="T13" s="433"/>
      <c r="U13" s="433"/>
      <c r="V13" s="433"/>
      <c r="W13" s="433"/>
      <c r="X13" s="433"/>
      <c r="Y13" s="433"/>
      <c r="Z13" s="433"/>
      <c r="AA13" s="433"/>
      <c r="AB13" s="433"/>
      <c r="AC13" s="433"/>
      <c r="AD13" s="433"/>
      <c r="AE13" s="433"/>
      <c r="AF13" s="433"/>
      <c r="AG13" s="440"/>
      <c r="AH13" s="440"/>
      <c r="AI13" s="441"/>
      <c r="AJ13" s="440"/>
      <c r="AK13" s="438"/>
      <c r="AL13" s="445"/>
      <c r="AM13" s="433"/>
      <c r="AN13" s="459"/>
      <c r="AO13" s="459"/>
      <c r="AP13" s="459"/>
      <c r="AQ13" s="459"/>
      <c r="AR13" s="460"/>
    </row>
    <row r="14" spans="1:44" ht="94.5" x14ac:dyDescent="0.25">
      <c r="A14" s="457"/>
      <c r="B14" s="440"/>
      <c r="C14" s="277"/>
      <c r="D14" s="268" t="s">
        <v>745</v>
      </c>
      <c r="E14" s="268"/>
      <c r="F14" s="268"/>
      <c r="G14" s="267" t="s">
        <v>747</v>
      </c>
      <c r="H14" s="455"/>
      <c r="I14" s="455"/>
      <c r="J14" s="443"/>
      <c r="K14" s="441"/>
      <c r="L14" s="440"/>
      <c r="M14" s="438"/>
      <c r="N14" s="445"/>
      <c r="O14" s="457"/>
      <c r="P14" s="440"/>
      <c r="Q14" s="436"/>
      <c r="R14" s="436"/>
      <c r="S14" s="433"/>
      <c r="T14" s="433"/>
      <c r="U14" s="433"/>
      <c r="V14" s="433"/>
      <c r="W14" s="433"/>
      <c r="X14" s="433"/>
      <c r="Y14" s="433"/>
      <c r="Z14" s="433"/>
      <c r="AA14" s="433"/>
      <c r="AB14" s="433"/>
      <c r="AC14" s="433"/>
      <c r="AD14" s="433"/>
      <c r="AE14" s="433"/>
      <c r="AF14" s="433"/>
      <c r="AG14" s="440"/>
      <c r="AH14" s="440"/>
      <c r="AI14" s="441"/>
      <c r="AJ14" s="440"/>
      <c r="AK14" s="438"/>
      <c r="AL14" s="445"/>
      <c r="AM14" s="433"/>
      <c r="AN14" s="459"/>
      <c r="AO14" s="459"/>
      <c r="AP14" s="459"/>
      <c r="AQ14" s="459"/>
      <c r="AR14" s="460"/>
    </row>
    <row r="15" spans="1:44" ht="148.5" x14ac:dyDescent="0.25">
      <c r="A15" s="457"/>
      <c r="B15" s="261">
        <v>5</v>
      </c>
      <c r="C15" s="277"/>
      <c r="D15" s="268" t="s">
        <v>745</v>
      </c>
      <c r="E15" s="268"/>
      <c r="F15" s="268"/>
      <c r="G15" s="274" t="s">
        <v>748</v>
      </c>
      <c r="H15" s="274" t="s">
        <v>137</v>
      </c>
      <c r="I15" s="275" t="s">
        <v>749</v>
      </c>
      <c r="J15" s="281" t="s">
        <v>727</v>
      </c>
      <c r="K15" s="264">
        <v>2</v>
      </c>
      <c r="L15" s="263">
        <v>4</v>
      </c>
      <c r="M15" s="265">
        <f t="shared" ref="M15:M16" si="3">K15*L15</f>
        <v>8</v>
      </c>
      <c r="N15" s="266" t="str">
        <f t="shared" ref="N15:N16" si="4">IF(AND(K15=1,L15=1),"BAJO",IF(AND(K15=1,L15=2),"BAJO",IF(AND(K15=2,L15=1),"BAJO",IF(AND(K15=2,L15=2),"BAJO",IF(AND(K15=3,L15=1),"BAJO",IF(AND(K15=1,L15=3),"MODERADO",IF(AND(K15=2,L15=3),"MODERADO",IF(AND(K15=3,L15=2),"MODERADO",IF(AND(K15=4,L15=1),"MODERADO",IF(AND(K15=5,L15=1),"ALTO",IF(AND(K15=4,L15=2),"ALTO",IF(AND(K15=3,L15=3),"ALTO",IF(AND(K15=2,L15=4),"ALTO",IF(AND(K15=1,L15=4),"ALTO",IF(AND(K15=5,L15=2),"ALTO",IF(AND(K15=4,L15=3),"ALTO","EXTREMO"))))))))))))))))</f>
        <v>ALTO</v>
      </c>
      <c r="O15" s="267" t="s">
        <v>750</v>
      </c>
      <c r="P15" s="261" t="s">
        <v>729</v>
      </c>
      <c r="Q15" s="268" t="s">
        <v>730</v>
      </c>
      <c r="R15" s="268" t="s">
        <v>731</v>
      </c>
      <c r="S15" s="269" t="s">
        <v>732</v>
      </c>
      <c r="T15" s="270">
        <f>IF(S15="Asignado",[3]Listas!$C$30,[3]Listas!$C$31)</f>
        <v>15</v>
      </c>
      <c r="U15" s="269" t="s">
        <v>733</v>
      </c>
      <c r="V15" s="270">
        <f>IF(U15="Adecuado",[3]Listas!$C$32,[3]Listas!$C$33)</f>
        <v>15</v>
      </c>
      <c r="W15" s="269" t="s">
        <v>734</v>
      </c>
      <c r="X15" s="270">
        <f>IF(W15="Oportuna",[3]Listas!$C$34,[3]Listas!$C$35)</f>
        <v>15</v>
      </c>
      <c r="Y15" s="269" t="s">
        <v>735</v>
      </c>
      <c r="Z15" s="270">
        <f>IF(Y15="Prevenir",[3]Listas!$C$36,IF(Y15="Detectar",[3]Listas!$C$37,[3]Listas!$C$38))</f>
        <v>15</v>
      </c>
      <c r="AA15" s="269" t="s">
        <v>736</v>
      </c>
      <c r="AB15" s="270">
        <f>IF(AA15="Confiable",[3]Listas!$C$39,[3]Listas!$C$40)</f>
        <v>15</v>
      </c>
      <c r="AC15" s="269" t="s">
        <v>737</v>
      </c>
      <c r="AD15" s="270">
        <f>IF(AC15="Se investigan y resuelven oportunamente",[3]Listas!$C$41,[3]Listas!$C$42)</f>
        <v>15</v>
      </c>
      <c r="AE15" s="269" t="s">
        <v>738</v>
      </c>
      <c r="AF15" s="270">
        <f>IF(AE15="Completa",[3]Listas!$C$43,IF(AE15="Incompleta",[3]Listas!$C$44,[3]Listas!$C$45))</f>
        <v>10</v>
      </c>
      <c r="AG15" s="261">
        <f t="shared" si="2"/>
        <v>100</v>
      </c>
      <c r="AH15" s="263">
        <v>100</v>
      </c>
      <c r="AI15" s="264">
        <v>1</v>
      </c>
      <c r="AJ15" s="263">
        <v>5</v>
      </c>
      <c r="AK15" s="265"/>
      <c r="AL15" s="282" t="s">
        <v>751</v>
      </c>
      <c r="AM15" s="283" t="s">
        <v>739</v>
      </c>
      <c r="AN15" s="284" t="s">
        <v>752</v>
      </c>
      <c r="AO15" s="284" t="s">
        <v>753</v>
      </c>
      <c r="AP15" s="284" t="s">
        <v>754</v>
      </c>
      <c r="AQ15" s="284" t="s">
        <v>755</v>
      </c>
      <c r="AR15" s="284" t="s">
        <v>756</v>
      </c>
    </row>
    <row r="16" spans="1:44" ht="67.5" customHeight="1" x14ac:dyDescent="0.25">
      <c r="A16" s="457"/>
      <c r="B16" s="440">
        <v>6</v>
      </c>
      <c r="C16" s="277"/>
      <c r="D16" s="268" t="s">
        <v>745</v>
      </c>
      <c r="E16" s="268"/>
      <c r="F16" s="268"/>
      <c r="G16" s="274" t="s">
        <v>757</v>
      </c>
      <c r="H16" s="461" t="s">
        <v>758</v>
      </c>
      <c r="I16" s="455" t="s">
        <v>726</v>
      </c>
      <c r="J16" s="454" t="s">
        <v>727</v>
      </c>
      <c r="K16" s="441">
        <v>2</v>
      </c>
      <c r="L16" s="440">
        <v>4</v>
      </c>
      <c r="M16" s="438">
        <f t="shared" si="3"/>
        <v>8</v>
      </c>
      <c r="N16" s="445" t="str">
        <f t="shared" si="4"/>
        <v>ALTO</v>
      </c>
      <c r="O16" s="462" t="s">
        <v>759</v>
      </c>
      <c r="P16" s="440" t="s">
        <v>729</v>
      </c>
      <c r="Q16" s="436" t="s">
        <v>730</v>
      </c>
      <c r="R16" s="436" t="s">
        <v>731</v>
      </c>
      <c r="S16" s="433" t="s">
        <v>732</v>
      </c>
      <c r="T16" s="433">
        <f>IF(S16="Asignado",[3]Listas!$C$30,[3]Listas!$C$31)</f>
        <v>15</v>
      </c>
      <c r="U16" s="433" t="s">
        <v>733</v>
      </c>
      <c r="V16" s="433">
        <f>IF(U16="Adecuado",[3]Listas!$C$32,[3]Listas!$C$33)</f>
        <v>15</v>
      </c>
      <c r="W16" s="433" t="s">
        <v>734</v>
      </c>
      <c r="X16" s="433">
        <f>IF(W16="Oportuna",[3]Listas!$C$34,[3]Listas!$C$35)</f>
        <v>15</v>
      </c>
      <c r="Y16" s="433" t="s">
        <v>735</v>
      </c>
      <c r="Z16" s="433">
        <f>IF(Y16="Prevenir",[3]Listas!$C$36,IF(Y16="Detectar",[3]Listas!$C$37,[3]Listas!$C$38))</f>
        <v>15</v>
      </c>
      <c r="AA16" s="433" t="s">
        <v>736</v>
      </c>
      <c r="AB16" s="433">
        <f>IF(AA16="Confiable",[3]Listas!$C$39,[3]Listas!$C$40)</f>
        <v>15</v>
      </c>
      <c r="AC16" s="433" t="s">
        <v>737</v>
      </c>
      <c r="AD16" s="433">
        <f>IF(AC16="Se investigan y resuelven oportunamente",[3]Listas!$C$41,[3]Listas!$C$42)</f>
        <v>15</v>
      </c>
      <c r="AE16" s="433" t="s">
        <v>738</v>
      </c>
      <c r="AF16" s="433">
        <f>IF(AE16="Completa",[3]Listas!$C$43,IF(AE16="Incompleta",[3]Listas!$C$44,[3]Listas!$C$45))</f>
        <v>10</v>
      </c>
      <c r="AG16" s="440">
        <f t="shared" si="2"/>
        <v>100</v>
      </c>
      <c r="AH16" s="440">
        <v>100</v>
      </c>
      <c r="AI16" s="441">
        <v>1</v>
      </c>
      <c r="AJ16" s="440">
        <v>4</v>
      </c>
      <c r="AK16" s="438">
        <f>AI16*AJ16</f>
        <v>4</v>
      </c>
      <c r="AL16" s="445" t="str">
        <f>IF(AND(AI16=1,AJ16=1),"BAJO",IF(AND(AI16=1,AJ16=2),"BAJO",IF(AND(AI16=2,AJ16=1),"BAJO",IF(AND(AI16=2,AJ16=2),"BAJO",IF(AND(AI16=3,AJ16=1),"BAJO",IF(AND(AI16=1,AJ16=3),"MODERADO",IF(AND(AI16=2,AJ16=3),"MODERADO",IF(AND(AI16=3,AJ16=2),"MODERADO",IF(AND(AI16=4,AJ16=1),"MODERADO",IF(AND(AI16=5,AJ16=1),"ALTO",IF(AND(AI16=4,AJ16=2),"ALTO",IF(AND(AI16=3,AJ16=3),"ALTO",IF(AND(AI16=2,AJ16=4),"ALTO",IF(AND(AI16=1,AJ16=4),"ALTO",IF(AND(AI16=5,AJ16=2),"ALTO",IF(AND(AI16=4,AJ16=3),"ALTO","EXTREMO"))))))))))))))))</f>
        <v>ALTO</v>
      </c>
      <c r="AM16" s="433" t="s">
        <v>739</v>
      </c>
      <c r="AN16" s="436" t="s">
        <v>760</v>
      </c>
      <c r="AO16" s="436" t="s">
        <v>761</v>
      </c>
      <c r="AP16" s="436" t="s">
        <v>754</v>
      </c>
      <c r="AQ16" s="436" t="s">
        <v>762</v>
      </c>
      <c r="AR16" s="436" t="s">
        <v>763</v>
      </c>
    </row>
    <row r="17" spans="1:44" ht="56.25" customHeight="1" x14ac:dyDescent="0.25">
      <c r="A17" s="457"/>
      <c r="B17" s="440"/>
      <c r="C17" s="277"/>
      <c r="D17" s="268" t="s">
        <v>745</v>
      </c>
      <c r="E17" s="268"/>
      <c r="F17" s="268"/>
      <c r="G17" s="286" t="s">
        <v>764</v>
      </c>
      <c r="H17" s="461"/>
      <c r="I17" s="455"/>
      <c r="J17" s="454"/>
      <c r="K17" s="441"/>
      <c r="L17" s="440"/>
      <c r="M17" s="438"/>
      <c r="N17" s="445"/>
      <c r="O17" s="462"/>
      <c r="P17" s="440"/>
      <c r="Q17" s="436"/>
      <c r="R17" s="436"/>
      <c r="S17" s="433"/>
      <c r="T17" s="433"/>
      <c r="U17" s="433"/>
      <c r="V17" s="433"/>
      <c r="W17" s="433"/>
      <c r="X17" s="433"/>
      <c r="Y17" s="433"/>
      <c r="Z17" s="433"/>
      <c r="AA17" s="433"/>
      <c r="AB17" s="433"/>
      <c r="AC17" s="433"/>
      <c r="AD17" s="433"/>
      <c r="AE17" s="433"/>
      <c r="AF17" s="433"/>
      <c r="AG17" s="440"/>
      <c r="AH17" s="440"/>
      <c r="AI17" s="441"/>
      <c r="AJ17" s="440"/>
      <c r="AK17" s="438"/>
      <c r="AL17" s="445"/>
      <c r="AM17" s="433"/>
      <c r="AN17" s="436"/>
      <c r="AO17" s="436"/>
      <c r="AP17" s="436"/>
      <c r="AQ17" s="436"/>
      <c r="AR17" s="436"/>
    </row>
    <row r="18" spans="1:44" ht="45" customHeight="1" x14ac:dyDescent="0.25">
      <c r="A18" s="457"/>
      <c r="B18" s="440"/>
      <c r="C18" s="269"/>
      <c r="D18" s="268" t="s">
        <v>745</v>
      </c>
      <c r="E18" s="268"/>
      <c r="F18" s="268"/>
      <c r="G18" s="287" t="s">
        <v>765</v>
      </c>
      <c r="H18" s="461"/>
      <c r="I18" s="455"/>
      <c r="J18" s="454"/>
      <c r="K18" s="441"/>
      <c r="L18" s="440"/>
      <c r="M18" s="438"/>
      <c r="N18" s="445"/>
      <c r="O18" s="462"/>
      <c r="P18" s="440"/>
      <c r="Q18" s="436"/>
      <c r="R18" s="436"/>
      <c r="S18" s="433"/>
      <c r="T18" s="433"/>
      <c r="U18" s="433"/>
      <c r="V18" s="433"/>
      <c r="W18" s="433"/>
      <c r="X18" s="433"/>
      <c r="Y18" s="433"/>
      <c r="Z18" s="433"/>
      <c r="AA18" s="433"/>
      <c r="AB18" s="433"/>
      <c r="AC18" s="433"/>
      <c r="AD18" s="433"/>
      <c r="AE18" s="433"/>
      <c r="AF18" s="433"/>
      <c r="AG18" s="440"/>
      <c r="AH18" s="440"/>
      <c r="AI18" s="441"/>
      <c r="AJ18" s="440"/>
      <c r="AK18" s="438"/>
      <c r="AL18" s="445"/>
      <c r="AM18" s="433"/>
      <c r="AN18" s="436"/>
      <c r="AO18" s="436"/>
      <c r="AP18" s="436"/>
      <c r="AQ18" s="436"/>
      <c r="AR18" s="436"/>
    </row>
    <row r="19" spans="1:44" ht="45" customHeight="1" x14ac:dyDescent="0.25">
      <c r="A19" s="457"/>
      <c r="B19" s="440"/>
      <c r="C19" s="269"/>
      <c r="D19" s="268" t="s">
        <v>745</v>
      </c>
      <c r="E19" s="268"/>
      <c r="F19" s="268"/>
      <c r="G19" s="288" t="s">
        <v>766</v>
      </c>
      <c r="H19" s="461"/>
      <c r="I19" s="455"/>
      <c r="J19" s="454"/>
      <c r="K19" s="441"/>
      <c r="L19" s="440"/>
      <c r="M19" s="438"/>
      <c r="N19" s="445"/>
      <c r="O19" s="462"/>
      <c r="P19" s="440"/>
      <c r="Q19" s="436"/>
      <c r="R19" s="436"/>
      <c r="S19" s="433"/>
      <c r="T19" s="433"/>
      <c r="U19" s="433"/>
      <c r="V19" s="433"/>
      <c r="W19" s="433"/>
      <c r="X19" s="433"/>
      <c r="Y19" s="433"/>
      <c r="Z19" s="433"/>
      <c r="AA19" s="433"/>
      <c r="AB19" s="433"/>
      <c r="AC19" s="433"/>
      <c r="AD19" s="433"/>
      <c r="AE19" s="433"/>
      <c r="AF19" s="433"/>
      <c r="AG19" s="440"/>
      <c r="AH19" s="440"/>
      <c r="AI19" s="441"/>
      <c r="AJ19" s="440"/>
      <c r="AK19" s="438"/>
      <c r="AL19" s="445"/>
      <c r="AM19" s="433"/>
      <c r="AN19" s="436"/>
      <c r="AO19" s="436"/>
      <c r="AP19" s="436"/>
      <c r="AQ19" s="436"/>
      <c r="AR19" s="436"/>
    </row>
    <row r="20" spans="1:44" ht="48" customHeight="1" x14ac:dyDescent="0.25">
      <c r="A20" s="449" t="s">
        <v>161</v>
      </c>
      <c r="B20" s="440">
        <v>1</v>
      </c>
      <c r="C20" s="277"/>
      <c r="D20" s="268" t="s">
        <v>745</v>
      </c>
      <c r="E20" s="268"/>
      <c r="F20" s="289"/>
      <c r="G20" s="457" t="s">
        <v>768</v>
      </c>
      <c r="H20" s="458" t="s">
        <v>769</v>
      </c>
      <c r="I20" s="455" t="s">
        <v>770</v>
      </c>
      <c r="J20" s="443" t="s">
        <v>727</v>
      </c>
      <c r="K20" s="441">
        <v>3</v>
      </c>
      <c r="L20" s="440">
        <v>4</v>
      </c>
      <c r="M20" s="438">
        <f t="shared" ref="M20" si="5">K20*L20</f>
        <v>12</v>
      </c>
      <c r="N20" s="445" t="str">
        <f t="shared" ref="N20" si="6">IF(AND(K20=1,L20=1),"BAJO",IF(AND(K20=1,L20=2),"BAJO",IF(AND(K20=2,L20=1),"BAJO",IF(AND(K20=2,L20=2),"BAJO",IF(AND(K20=3,L20=1),"BAJO",IF(AND(K20=1,L20=3),"MODERADO",IF(AND(K20=2,L20=3),"MODERADO",IF(AND(K20=3,L20=2),"MODERADO",IF(AND(K20=4,L20=1),"MODERADO",IF(AND(K20=5,L20=1),"ALTO",IF(AND(K20=4,L20=2),"ALTO",IF(AND(K20=3,L20=3),"ALTO",IF(AND(K20=2,L20=4),"ALTO",IF(AND(K20=1,L20=4),"ALTO",IF(AND(K20=5,L20=2),"ALTO",IF(AND(K20=4,L20=3),"ALTO","EXTREMO"))))))))))))))))</f>
        <v>EXTREMO</v>
      </c>
      <c r="O20" s="457" t="s">
        <v>771</v>
      </c>
      <c r="P20" s="440" t="s">
        <v>729</v>
      </c>
      <c r="Q20" s="436" t="s">
        <v>730</v>
      </c>
      <c r="R20" s="436" t="s">
        <v>772</v>
      </c>
      <c r="S20" s="433" t="s">
        <v>732</v>
      </c>
      <c r="T20" s="433">
        <f>IF(S20="Asignado",[4]Listas!$C$30,[4]Listas!$C$31)</f>
        <v>15</v>
      </c>
      <c r="U20" s="433" t="s">
        <v>733</v>
      </c>
      <c r="V20" s="433">
        <f>IF(U20="Adecuado",[4]Listas!$C$32,[4]Listas!$C$33)</f>
        <v>15</v>
      </c>
      <c r="W20" s="433" t="s">
        <v>734</v>
      </c>
      <c r="X20" s="433">
        <f>IF(W20="Oportuna",[4]Listas!$C$34,[4]Listas!$C$35)</f>
        <v>15</v>
      </c>
      <c r="Y20" s="433" t="s">
        <v>735</v>
      </c>
      <c r="Z20" s="433">
        <f>IF(Y20="Prevenir",[4]Listas!$C$36,IF(Y20="Detectar",[4]Listas!$C$37,[4]Listas!$C$38))</f>
        <v>15</v>
      </c>
      <c r="AA20" s="433" t="s">
        <v>736</v>
      </c>
      <c r="AB20" s="433">
        <f>IF(AA20="Confiable",[4]Listas!$C$39,[4]Listas!$C$40)</f>
        <v>15</v>
      </c>
      <c r="AC20" s="433" t="s">
        <v>737</v>
      </c>
      <c r="AD20" s="433">
        <f>IF(AC20="Se investigan y resuelven oportunamente",[4]Listas!$C$41,[4]Listas!$C$42)</f>
        <v>15</v>
      </c>
      <c r="AE20" s="433" t="s">
        <v>738</v>
      </c>
      <c r="AF20" s="433">
        <f>IF(AE20="Completa",[4]Listas!$C$43,IF(AE20="Incompleta",[4]Listas!$C$44,[4]Listas!$C$45))</f>
        <v>10</v>
      </c>
      <c r="AG20" s="440">
        <f t="shared" ref="AG20" si="7">T20+V20+X20+Z20+AB20+AD20+AF20</f>
        <v>100</v>
      </c>
      <c r="AH20" s="440">
        <f>AVERAGE(AG20:AG20)</f>
        <v>100</v>
      </c>
      <c r="AI20" s="441">
        <v>1</v>
      </c>
      <c r="AJ20" s="440">
        <v>5</v>
      </c>
      <c r="AK20" s="438">
        <f>+AI20*AJ20</f>
        <v>5</v>
      </c>
      <c r="AL20" s="445" t="str">
        <f t="shared" ref="AL20" si="8">IF(AND(AI20=1,AJ20=1),"BAJO",IF(AND(AI20=1,AJ20=2),"BAJO",IF(AND(AI20=2,AJ20=1),"BAJO",IF(AND(AI20=2,AJ20=2),"BAJO",IF(AND(AI20=3,AJ20=1),"BAJO",IF(AND(AI20=1,AJ20=3),"MODERADO",IF(AND(AI20=2,AJ20=3),"MODERADO",IF(AND(AI20=3,AJ20=2),"MODERADO",IF(AND(AI20=4,AJ20=1),"MODERADO",IF(AND(AI20=5,AJ20=1),"ALTO",IF(AND(AI20=4,AJ20=2),"ALTO",IF(AND(AI20=3,AJ20=3),"ALTO",IF(AND(AI20=2,AJ20=4),"ALTO",IF(AND(AI20=1,AJ20=4),"ALTO",IF(AND(AI20=5,AJ20=2),"ALTO",IF(AND(AI20=4,AJ20=3),"ALTO","EXTREMO"))))))))))))))))</f>
        <v>EXTREMO</v>
      </c>
      <c r="AM20" s="433" t="s">
        <v>739</v>
      </c>
      <c r="AN20" s="437" t="s">
        <v>773</v>
      </c>
      <c r="AO20" s="437" t="s">
        <v>774</v>
      </c>
      <c r="AP20" s="436" t="s">
        <v>775</v>
      </c>
      <c r="AQ20" s="436" t="s">
        <v>776</v>
      </c>
      <c r="AR20" s="456" t="s">
        <v>777</v>
      </c>
    </row>
    <row r="21" spans="1:44" ht="74.25" customHeight="1" x14ac:dyDescent="0.25">
      <c r="A21" s="449"/>
      <c r="B21" s="440"/>
      <c r="C21" s="277"/>
      <c r="D21" s="268"/>
      <c r="E21" s="268" t="s">
        <v>778</v>
      </c>
      <c r="F21" s="289" t="s">
        <v>768</v>
      </c>
      <c r="G21" s="457"/>
      <c r="H21" s="458"/>
      <c r="I21" s="455"/>
      <c r="J21" s="443"/>
      <c r="K21" s="441"/>
      <c r="L21" s="440"/>
      <c r="M21" s="438"/>
      <c r="N21" s="445"/>
      <c r="O21" s="457"/>
      <c r="P21" s="440"/>
      <c r="Q21" s="436"/>
      <c r="R21" s="436"/>
      <c r="S21" s="433"/>
      <c r="T21" s="433"/>
      <c r="U21" s="433"/>
      <c r="V21" s="433"/>
      <c r="W21" s="433"/>
      <c r="X21" s="433"/>
      <c r="Y21" s="433"/>
      <c r="Z21" s="433"/>
      <c r="AA21" s="433"/>
      <c r="AB21" s="433"/>
      <c r="AC21" s="433"/>
      <c r="AD21" s="433"/>
      <c r="AE21" s="433"/>
      <c r="AF21" s="433"/>
      <c r="AG21" s="440"/>
      <c r="AH21" s="440"/>
      <c r="AI21" s="441"/>
      <c r="AJ21" s="440"/>
      <c r="AK21" s="438"/>
      <c r="AL21" s="445"/>
      <c r="AM21" s="433"/>
      <c r="AN21" s="437"/>
      <c r="AO21" s="437"/>
      <c r="AP21" s="436"/>
      <c r="AQ21" s="436"/>
      <c r="AR21" s="456"/>
    </row>
    <row r="22" spans="1:44" ht="45.75" customHeight="1" x14ac:dyDescent="0.25">
      <c r="A22" s="449" t="s">
        <v>723</v>
      </c>
      <c r="B22" s="440">
        <v>4</v>
      </c>
      <c r="C22" s="277"/>
      <c r="D22" s="268" t="s">
        <v>745</v>
      </c>
      <c r="E22" s="268"/>
      <c r="F22" s="268"/>
      <c r="G22" s="274" t="s">
        <v>757</v>
      </c>
      <c r="H22" s="461" t="s">
        <v>758</v>
      </c>
      <c r="I22" s="455" t="s">
        <v>726</v>
      </c>
      <c r="J22" s="454" t="s">
        <v>727</v>
      </c>
      <c r="K22" s="441">
        <v>2</v>
      </c>
      <c r="L22" s="440">
        <v>4</v>
      </c>
      <c r="M22" s="438">
        <f>K22*L22</f>
        <v>8</v>
      </c>
      <c r="N22" s="445" t="str">
        <f>IF(AND(K22=1,L22=1),"BAJO",IF(AND(K22=1,L22=2),"BAJO",IF(AND(K22=2,L22=1),"BAJO",IF(AND(K22=2,L22=2),"BAJO",IF(AND(K22=3,L22=1),"BAJO",IF(AND(K22=1,L22=3),"MODERADO",IF(AND(K22=2,L22=3),"MODERADO",IF(AND(K22=3,L22=2),"MODERADO",IF(AND(K22=4,L22=1),"MODERADO",IF(AND(K22=5,L22=1),"ALTO",IF(AND(K22=4,L22=2),"ALTO",IF(AND(K22=3,L22=3),"ALTO",IF(AND(K22=2,L22=4),"ALTO",IF(AND(K22=1,L22=4),"ALTO",IF(AND(K22=5,L22=2),"ALTO",IF(AND(K22=4,L22=3),"ALTO","EXTREMO"))))))))))))))))</f>
        <v>ALTO</v>
      </c>
      <c r="O22" s="462" t="s">
        <v>759</v>
      </c>
      <c r="P22" s="440" t="s">
        <v>729</v>
      </c>
      <c r="Q22" s="436" t="s">
        <v>730</v>
      </c>
      <c r="R22" s="436" t="s">
        <v>731</v>
      </c>
      <c r="S22" s="433" t="s">
        <v>732</v>
      </c>
      <c r="T22" s="433">
        <f>IF(S22="Asignado",[5]Listas!$C$30,[5]Listas!$C$31)</f>
        <v>15</v>
      </c>
      <c r="U22" s="433" t="s">
        <v>733</v>
      </c>
      <c r="V22" s="433">
        <f>IF(U22="Adecuado",[5]Listas!$C$32,[5]Listas!$C$33)</f>
        <v>15</v>
      </c>
      <c r="W22" s="433" t="s">
        <v>734</v>
      </c>
      <c r="X22" s="433">
        <f>IF(W22="Oportuna",[5]Listas!$C$34,[5]Listas!$C$35)</f>
        <v>15</v>
      </c>
      <c r="Y22" s="433" t="s">
        <v>735</v>
      </c>
      <c r="Z22" s="433">
        <f>IF(Y22="Prevenir",[5]Listas!$C$36,IF(Y22="Detectar",[5]Listas!$C$37,[5]Listas!$C$38))</f>
        <v>15</v>
      </c>
      <c r="AA22" s="433" t="s">
        <v>736</v>
      </c>
      <c r="AB22" s="433">
        <f>IF(AA22="Confiable",[5]Listas!$C$39,[5]Listas!$C$40)</f>
        <v>15</v>
      </c>
      <c r="AC22" s="433" t="s">
        <v>737</v>
      </c>
      <c r="AD22" s="433">
        <f>IF(AC22="Se investigan y resuelven oportunamente",[5]Listas!$C$41,[5]Listas!$C$42)</f>
        <v>15</v>
      </c>
      <c r="AE22" s="433" t="s">
        <v>738</v>
      </c>
      <c r="AF22" s="433">
        <f>IF(AE22="Completa",[5]Listas!$C$43,IF(AE22="Incompleta",[5]Listas!$C$44,[5]Listas!$C$45))</f>
        <v>10</v>
      </c>
      <c r="AG22" s="440">
        <f>T22+V22+X22+Z22+AB22+AD22+AF22</f>
        <v>100</v>
      </c>
      <c r="AH22" s="440">
        <v>100</v>
      </c>
      <c r="AI22" s="441">
        <v>1</v>
      </c>
      <c r="AJ22" s="440">
        <v>4</v>
      </c>
      <c r="AK22" s="438">
        <f>AI22*AJ22</f>
        <v>4</v>
      </c>
      <c r="AL22" s="445" t="str">
        <f>IF(AND(AI22=1,AJ22=1),"BAJO",IF(AND(AI22=1,AJ22=2),"BAJO",IF(AND(AI22=2,AJ22=1),"BAJO",IF(AND(AI22=2,AJ22=2),"BAJO",IF(AND(AI22=3,AJ22=1),"BAJO",IF(AND(AI22=1,AJ22=3),"MODERADO",IF(AND(AI22=2,AJ22=3),"MODERADO",IF(AND(AI22=3,AJ22=2),"MODERADO",IF(AND(AI22=4,AJ22=1),"MODERADO",IF(AND(AI22=5,AJ22=1),"ALTO",IF(AND(AI22=4,AJ22=2),"ALTO",IF(AND(AI22=3,AJ22=3),"ALTO",IF(AND(AI22=2,AJ22=4),"ALTO",IF(AND(AI22=1,AJ22=4),"ALTO",IF(AND(AI22=5,AJ22=2),"ALTO",IF(AND(AI22=4,AJ22=3),"ALTO","EXTREMO"))))))))))))))))</f>
        <v>ALTO</v>
      </c>
      <c r="AM22" s="433" t="s">
        <v>739</v>
      </c>
      <c r="AN22" s="436" t="s">
        <v>760</v>
      </c>
      <c r="AO22" s="436" t="s">
        <v>761</v>
      </c>
      <c r="AP22" s="436" t="s">
        <v>754</v>
      </c>
      <c r="AQ22" s="436" t="s">
        <v>762</v>
      </c>
      <c r="AR22" s="436" t="s">
        <v>763</v>
      </c>
    </row>
    <row r="23" spans="1:44" ht="33" customHeight="1" x14ac:dyDescent="0.25">
      <c r="A23" s="449"/>
      <c r="B23" s="440"/>
      <c r="C23" s="277"/>
      <c r="D23" s="268" t="s">
        <v>745</v>
      </c>
      <c r="E23" s="268"/>
      <c r="F23" s="268"/>
      <c r="G23" s="286" t="s">
        <v>764</v>
      </c>
      <c r="H23" s="461"/>
      <c r="I23" s="455"/>
      <c r="J23" s="454"/>
      <c r="K23" s="441"/>
      <c r="L23" s="440"/>
      <c r="M23" s="438"/>
      <c r="N23" s="445"/>
      <c r="O23" s="462"/>
      <c r="P23" s="440"/>
      <c r="Q23" s="436"/>
      <c r="R23" s="436"/>
      <c r="S23" s="433"/>
      <c r="T23" s="433"/>
      <c r="U23" s="433"/>
      <c r="V23" s="433"/>
      <c r="W23" s="433"/>
      <c r="X23" s="433"/>
      <c r="Y23" s="433"/>
      <c r="Z23" s="433"/>
      <c r="AA23" s="433"/>
      <c r="AB23" s="433"/>
      <c r="AC23" s="433"/>
      <c r="AD23" s="433"/>
      <c r="AE23" s="433"/>
      <c r="AF23" s="433"/>
      <c r="AG23" s="440"/>
      <c r="AH23" s="440"/>
      <c r="AI23" s="441"/>
      <c r="AJ23" s="440"/>
      <c r="AK23" s="438"/>
      <c r="AL23" s="445"/>
      <c r="AM23" s="433"/>
      <c r="AN23" s="436"/>
      <c r="AO23" s="436"/>
      <c r="AP23" s="436"/>
      <c r="AQ23" s="436"/>
      <c r="AR23" s="436"/>
    </row>
    <row r="24" spans="1:44" s="253" customFormat="1" ht="28.5" customHeight="1" x14ac:dyDescent="0.25">
      <c r="A24" s="449"/>
      <c r="B24" s="440"/>
      <c r="C24" s="269"/>
      <c r="D24" s="268" t="s">
        <v>745</v>
      </c>
      <c r="E24" s="268"/>
      <c r="F24" s="268"/>
      <c r="G24" s="287" t="s">
        <v>765</v>
      </c>
      <c r="H24" s="461"/>
      <c r="I24" s="455"/>
      <c r="J24" s="454"/>
      <c r="K24" s="441"/>
      <c r="L24" s="440"/>
      <c r="M24" s="438"/>
      <c r="N24" s="445"/>
      <c r="O24" s="462"/>
      <c r="P24" s="440"/>
      <c r="Q24" s="436"/>
      <c r="R24" s="436"/>
      <c r="S24" s="433"/>
      <c r="T24" s="433"/>
      <c r="U24" s="433"/>
      <c r="V24" s="433"/>
      <c r="W24" s="433"/>
      <c r="X24" s="433"/>
      <c r="Y24" s="433"/>
      <c r="Z24" s="433"/>
      <c r="AA24" s="433"/>
      <c r="AB24" s="433"/>
      <c r="AC24" s="433"/>
      <c r="AD24" s="433"/>
      <c r="AE24" s="433"/>
      <c r="AF24" s="433"/>
      <c r="AG24" s="440"/>
      <c r="AH24" s="440"/>
      <c r="AI24" s="441"/>
      <c r="AJ24" s="440"/>
      <c r="AK24" s="438"/>
      <c r="AL24" s="445"/>
      <c r="AM24" s="433"/>
      <c r="AN24" s="436"/>
      <c r="AO24" s="436"/>
      <c r="AP24" s="436"/>
      <c r="AQ24" s="436"/>
      <c r="AR24" s="436"/>
    </row>
    <row r="25" spans="1:44" ht="28.5" customHeight="1" x14ac:dyDescent="0.25">
      <c r="A25" s="449"/>
      <c r="B25" s="440"/>
      <c r="C25" s="269"/>
      <c r="D25" s="268" t="s">
        <v>745</v>
      </c>
      <c r="E25" s="268"/>
      <c r="F25" s="268"/>
      <c r="G25" s="288" t="s">
        <v>766</v>
      </c>
      <c r="H25" s="461"/>
      <c r="I25" s="455"/>
      <c r="J25" s="454"/>
      <c r="K25" s="441"/>
      <c r="L25" s="440"/>
      <c r="M25" s="438"/>
      <c r="N25" s="445"/>
      <c r="O25" s="462"/>
      <c r="P25" s="440"/>
      <c r="Q25" s="436"/>
      <c r="R25" s="436"/>
      <c r="S25" s="433"/>
      <c r="T25" s="433"/>
      <c r="U25" s="433"/>
      <c r="V25" s="433"/>
      <c r="W25" s="433"/>
      <c r="X25" s="433"/>
      <c r="Y25" s="433"/>
      <c r="Z25" s="433"/>
      <c r="AA25" s="433"/>
      <c r="AB25" s="433"/>
      <c r="AC25" s="433"/>
      <c r="AD25" s="433"/>
      <c r="AE25" s="433"/>
      <c r="AF25" s="433"/>
      <c r="AG25" s="440"/>
      <c r="AH25" s="440"/>
      <c r="AI25" s="441"/>
      <c r="AJ25" s="440"/>
      <c r="AK25" s="438"/>
      <c r="AL25" s="445"/>
      <c r="AM25" s="433"/>
      <c r="AN25" s="436"/>
      <c r="AO25" s="436"/>
      <c r="AP25" s="436"/>
      <c r="AQ25" s="436"/>
      <c r="AR25" s="436"/>
    </row>
    <row r="26" spans="1:44" ht="337.5" x14ac:dyDescent="0.25">
      <c r="A26" s="457" t="s">
        <v>172</v>
      </c>
      <c r="B26" s="262">
        <v>3</v>
      </c>
      <c r="C26" s="262"/>
      <c r="D26" s="268" t="s">
        <v>724</v>
      </c>
      <c r="E26" s="268"/>
      <c r="F26" s="268"/>
      <c r="G26" s="291" t="s">
        <v>874</v>
      </c>
      <c r="H26" s="274" t="s">
        <v>875</v>
      </c>
      <c r="I26" s="274" t="s">
        <v>876</v>
      </c>
      <c r="J26" s="257" t="s">
        <v>727</v>
      </c>
      <c r="K26" s="264">
        <v>3</v>
      </c>
      <c r="L26" s="263">
        <v>4</v>
      </c>
      <c r="M26" s="265">
        <f t="shared" ref="M26:M31" si="9">K26*L26</f>
        <v>12</v>
      </c>
      <c r="N26" s="266" t="str">
        <f t="shared" ref="N26:N31" si="10">IF(AND(K26=1,L26=1),"BAJO",IF(AND(K26=1,L26=2),"BAJO",IF(AND(K26=2,L26=1),"BAJO",IF(AND(K26=2,L26=2),"BAJO",IF(AND(K26=3,L26=1),"BAJO",IF(AND(K26=1,L26=3),"MODERADO",IF(AND(K26=2,L26=3),"MODERADO",IF(AND(K26=3,L26=2),"MODERADO",IF(AND(K26=4,L26=1),"MODERADO",IF(AND(K26=5,L26=1),"ALTO",IF(AND(K26=4,L26=2),"ALTO",IF(AND(K26=3,L26=3),"ALTO",IF(AND(K26=2,L26=4),"ALTO",IF(AND(K26=1,L26=4),"ALTO",IF(AND(K26=5,L26=2),"ALTO",IF(AND(K26=4,L26=3),"ALTO","EXTREMO"))))))))))))))))</f>
        <v>EXTREMO</v>
      </c>
      <c r="O26" s="292" t="s">
        <v>877</v>
      </c>
      <c r="P26" s="261" t="s">
        <v>807</v>
      </c>
      <c r="Q26" s="268" t="s">
        <v>730</v>
      </c>
      <c r="R26" s="268" t="s">
        <v>730</v>
      </c>
      <c r="S26" s="269" t="s">
        <v>732</v>
      </c>
      <c r="T26" s="270">
        <f>IF(S26="Asignado",[6]Listas!$C$30,[6]Listas!$C$31)</f>
        <v>15</v>
      </c>
      <c r="U26" s="269" t="s">
        <v>733</v>
      </c>
      <c r="V26" s="270">
        <f>IF(U26="Adecuado",[6]Listas!$C$32,[6]Listas!$C$33)</f>
        <v>15</v>
      </c>
      <c r="W26" s="269" t="s">
        <v>734</v>
      </c>
      <c r="X26" s="270">
        <f>IF(W26="Oportuna",[6]Listas!$C$34,[6]Listas!$C$35)</f>
        <v>15</v>
      </c>
      <c r="Y26" s="269" t="s">
        <v>808</v>
      </c>
      <c r="Z26" s="270">
        <f>IF(Y26="Prevenir",[6]Listas!$C$36,IF(Y26="Detectar",[6]Listas!$C$37,[6]Listas!$C$38))</f>
        <v>10</v>
      </c>
      <c r="AA26" s="269" t="s">
        <v>736</v>
      </c>
      <c r="AB26" s="270">
        <f>IF(AA26="Confiable",[6]Listas!$C$39,[6]Listas!$C$40)</f>
        <v>15</v>
      </c>
      <c r="AC26" s="269" t="s">
        <v>737</v>
      </c>
      <c r="AD26" s="270">
        <f>IF(AC26="Se investigan y resuelven oportunamente",[6]Listas!$C$41,[6]Listas!$C$42)</f>
        <v>15</v>
      </c>
      <c r="AE26" s="269" t="s">
        <v>738</v>
      </c>
      <c r="AF26" s="270">
        <f>IF(AE26="Completa",[6]Listas!$C$43,IF(AE26="Incompleta",[6]Listas!$C$44,[6]Listas!$C$45))</f>
        <v>10</v>
      </c>
      <c r="AG26" s="261">
        <f t="shared" ref="AG26:AG33" si="11">T26+V26+X26+Z26+AB26+AD26+AF26</f>
        <v>95</v>
      </c>
      <c r="AH26" s="263">
        <f>AVERAGE(AG26:AG26)</f>
        <v>95</v>
      </c>
      <c r="AI26" s="293" t="str">
        <f>IF(AND(AH26&gt;=96,AH26&lt;=100),"FUERTE",IF(AND(AH26&gt;=86,AH26&lt;=95),"MODERADO","DEBIL"))</f>
        <v>MODERADO</v>
      </c>
      <c r="AJ26" s="264">
        <v>1</v>
      </c>
      <c r="AK26" s="263">
        <v>2</v>
      </c>
      <c r="AL26" s="265">
        <f>AJ26*AK26</f>
        <v>2</v>
      </c>
      <c r="AM26" s="269" t="s">
        <v>785</v>
      </c>
      <c r="AN26" s="272" t="s">
        <v>878</v>
      </c>
      <c r="AO26" s="272" t="s">
        <v>879</v>
      </c>
      <c r="AP26" s="272" t="s">
        <v>880</v>
      </c>
      <c r="AQ26" s="273" t="s">
        <v>881</v>
      </c>
      <c r="AR26" s="257" t="s">
        <v>882</v>
      </c>
    </row>
    <row r="27" spans="1:44" ht="121.5" x14ac:dyDescent="0.25">
      <c r="A27" s="457"/>
      <c r="B27" s="262">
        <v>4</v>
      </c>
      <c r="C27" s="262"/>
      <c r="D27" s="268" t="s">
        <v>724</v>
      </c>
      <c r="E27" s="268"/>
      <c r="F27" s="268"/>
      <c r="G27" s="267" t="s">
        <v>883</v>
      </c>
      <c r="H27" s="275" t="s">
        <v>884</v>
      </c>
      <c r="I27" s="294" t="s">
        <v>885</v>
      </c>
      <c r="J27" s="257" t="s">
        <v>727</v>
      </c>
      <c r="K27" s="264">
        <v>3</v>
      </c>
      <c r="L27" s="263">
        <v>4</v>
      </c>
      <c r="M27" s="265">
        <f t="shared" si="9"/>
        <v>12</v>
      </c>
      <c r="N27" s="266" t="str">
        <f t="shared" si="10"/>
        <v>EXTREMO</v>
      </c>
      <c r="O27" s="267" t="s">
        <v>886</v>
      </c>
      <c r="P27" s="261" t="s">
        <v>807</v>
      </c>
      <c r="Q27" s="268" t="s">
        <v>731</v>
      </c>
      <c r="R27" s="268" t="s">
        <v>731</v>
      </c>
      <c r="S27" s="269" t="s">
        <v>732</v>
      </c>
      <c r="T27" s="270">
        <f>IF(S27="Asignado",[6]Listas!$C$30,[6]Listas!$C$31)</f>
        <v>15</v>
      </c>
      <c r="U27" s="269" t="s">
        <v>733</v>
      </c>
      <c r="V27" s="270">
        <f>IF(U27="Adecuado",[6]Listas!$C$32,[6]Listas!$C$33)</f>
        <v>15</v>
      </c>
      <c r="W27" s="269" t="s">
        <v>887</v>
      </c>
      <c r="X27" s="270">
        <f>IF(W27="Oportuna",[6]Listas!$C$34,[6]Listas!$C$35)</f>
        <v>0</v>
      </c>
      <c r="Y27" s="269" t="s">
        <v>888</v>
      </c>
      <c r="Z27" s="270">
        <f>IF(Y27="Prevenir",[6]Listas!$C$36,IF(Y27="Detectar",[6]Listas!$C$37,[6]Listas!$C$38))</f>
        <v>0</v>
      </c>
      <c r="AA27" s="269" t="s">
        <v>889</v>
      </c>
      <c r="AB27" s="270">
        <f>IF(AA27="Confiable",[6]Listas!$C$39,[6]Listas!$C$40)</f>
        <v>0</v>
      </c>
      <c r="AC27" s="269" t="s">
        <v>784</v>
      </c>
      <c r="AD27" s="270">
        <f>IF(AC27="Se investigan y resuelven oportunamente",[6]Listas!$C$41,[6]Listas!$C$42)</f>
        <v>0</v>
      </c>
      <c r="AE27" s="269" t="s">
        <v>890</v>
      </c>
      <c r="AF27" s="270">
        <f>IF(AE27="Completa",[6]Listas!$C$43,IF(AE27="Incompleta",[6]Listas!$C$44,[6]Listas!$C$45))</f>
        <v>5</v>
      </c>
      <c r="AG27" s="261">
        <f t="shared" si="11"/>
        <v>35</v>
      </c>
      <c r="AH27" s="263">
        <f>AVERAGE(AG27:AG27)</f>
        <v>35</v>
      </c>
      <c r="AI27" s="293" t="str">
        <f>IF(AND(AH27&gt;=96,AH27&lt;=100),"FUERTE",IF(AND(AH27&gt;=86,AH27&lt;=95),"MODERADO","DEBIL"))</f>
        <v>DEBIL</v>
      </c>
      <c r="AJ27" s="264">
        <v>3</v>
      </c>
      <c r="AK27" s="263">
        <v>4</v>
      </c>
      <c r="AL27" s="265">
        <f>AJ27*AK27</f>
        <v>12</v>
      </c>
      <c r="AM27" s="269" t="s">
        <v>785</v>
      </c>
      <c r="AN27" s="272" t="s">
        <v>891</v>
      </c>
      <c r="AO27" s="272" t="s">
        <v>892</v>
      </c>
      <c r="AP27" s="272" t="s">
        <v>893</v>
      </c>
      <c r="AQ27" s="273" t="s">
        <v>881</v>
      </c>
      <c r="AR27" s="272" t="s">
        <v>894</v>
      </c>
    </row>
    <row r="28" spans="1:44" ht="175.5" x14ac:dyDescent="0.25">
      <c r="A28" s="463" t="s">
        <v>183</v>
      </c>
      <c r="B28" s="261">
        <v>1</v>
      </c>
      <c r="C28" s="262"/>
      <c r="D28" s="268" t="s">
        <v>724</v>
      </c>
      <c r="E28" s="268"/>
      <c r="F28" s="268"/>
      <c r="G28" s="295" t="s">
        <v>904</v>
      </c>
      <c r="H28" s="296" t="s">
        <v>910</v>
      </c>
      <c r="I28" s="292" t="s">
        <v>909</v>
      </c>
      <c r="J28" s="257" t="s">
        <v>727</v>
      </c>
      <c r="K28" s="264">
        <v>3</v>
      </c>
      <c r="L28" s="263">
        <v>5</v>
      </c>
      <c r="M28" s="265">
        <f t="shared" si="9"/>
        <v>15</v>
      </c>
      <c r="N28" s="266" t="str">
        <f t="shared" si="10"/>
        <v>EXTREMO</v>
      </c>
      <c r="O28" s="292" t="s">
        <v>908</v>
      </c>
      <c r="P28" s="261" t="s">
        <v>729</v>
      </c>
      <c r="Q28" s="268" t="s">
        <v>730</v>
      </c>
      <c r="R28" s="268" t="s">
        <v>730</v>
      </c>
      <c r="S28" s="269" t="s">
        <v>732</v>
      </c>
      <c r="T28" s="270">
        <f>IF(S28="Asignado",[7]Listas!$C$30,[7]Listas!$C$31)</f>
        <v>15</v>
      </c>
      <c r="U28" s="269" t="s">
        <v>733</v>
      </c>
      <c r="V28" s="270">
        <f>IF(U28="Adecuado",[7]Listas!$C$32,[7]Listas!$C$33)</f>
        <v>15</v>
      </c>
      <c r="W28" s="269" t="s">
        <v>734</v>
      </c>
      <c r="X28" s="270">
        <f>IF(W28="Oportuna",[7]Listas!$C$34,[7]Listas!$C$35)</f>
        <v>15</v>
      </c>
      <c r="Y28" s="269" t="s">
        <v>735</v>
      </c>
      <c r="Z28" s="270">
        <f>IF(Y28="Prevenir",[7]Listas!$C$36,IF(Y28="Detectar",[7]Listas!$C$37,[7]Listas!$C$38))</f>
        <v>15</v>
      </c>
      <c r="AA28" s="269" t="s">
        <v>736</v>
      </c>
      <c r="AB28" s="270">
        <f>IF(AA28="Confiable",[7]Listas!$C$39,[7]Listas!$C$40)</f>
        <v>15</v>
      </c>
      <c r="AC28" s="269" t="s">
        <v>737</v>
      </c>
      <c r="AD28" s="270">
        <f>IF(AC28="Se investigan y resuelven oportunamente",[7]Listas!$C$41,[7]Listas!$C$42)</f>
        <v>15</v>
      </c>
      <c r="AE28" s="269" t="s">
        <v>738</v>
      </c>
      <c r="AF28" s="270">
        <f>IF(AE28="Completa",[7]Listas!$C$43,IF(AE28="Incompleta",[7]Listas!$C$44,[7]Listas!$C$45))</f>
        <v>10</v>
      </c>
      <c r="AG28" s="261">
        <f t="shared" si="11"/>
        <v>100</v>
      </c>
      <c r="AH28" s="263">
        <f>AVERAGE(AG28:AG28)</f>
        <v>100</v>
      </c>
      <c r="AI28" s="264">
        <v>2</v>
      </c>
      <c r="AJ28" s="263">
        <v>4</v>
      </c>
      <c r="AK28" s="265">
        <f>AI28*AJ28</f>
        <v>8</v>
      </c>
      <c r="AL28" s="271" t="str">
        <f>IF(AND(AI28=1,AJ28=1),"BAJO",IF(AND(AI28=1,AJ28=2),"BAJO",IF(AND(AI28=2,AJ28=1),"BAJO",IF(AND(AI28=2,AJ28=2),"BAJO",IF(AND(AI28=3,AJ28=1),"BAJO",IF(AND(AI28=1,AJ28=3),"MODERADO",IF(AND(AI28=2,AJ28=3),"MODERADO",IF(AND(AI28=3,AJ28=2),"MODERADO",IF(AND(AI28=4,AJ28=1),"MODERADO",IF(AND(AI28=5,AJ28=1),"ALTO",IF(AND(AI28=4,AJ28=2),"ALTO",IF(AND(AI28=3,AJ28=3),"ALTO",IF(AND(AI28=2,AJ28=4),"ALTO",IF(AND(AI28=1,AJ28=4),"ALTO",IF(AND(AI28=5,AJ28=2),"ALTO",IF(AND(AI28=4,AJ28=3),"ALTO","EXTREMO"))))))))))))))))</f>
        <v>ALTO</v>
      </c>
      <c r="AM28" s="269" t="s">
        <v>785</v>
      </c>
      <c r="AN28" s="272" t="s">
        <v>907</v>
      </c>
      <c r="AO28" s="272" t="s">
        <v>906</v>
      </c>
      <c r="AP28" s="272" t="s">
        <v>897</v>
      </c>
      <c r="AQ28" s="273" t="s">
        <v>896</v>
      </c>
      <c r="AR28" s="272" t="s">
        <v>905</v>
      </c>
    </row>
    <row r="29" spans="1:44" ht="121.5" x14ac:dyDescent="0.25">
      <c r="A29" s="463"/>
      <c r="B29" s="261">
        <v>2</v>
      </c>
      <c r="C29" s="262"/>
      <c r="D29" s="268" t="s">
        <v>745</v>
      </c>
      <c r="E29" s="268"/>
      <c r="F29" s="268"/>
      <c r="G29" s="296" t="s">
        <v>904</v>
      </c>
      <c r="H29" s="297" t="s">
        <v>903</v>
      </c>
      <c r="I29" s="296" t="s">
        <v>902</v>
      </c>
      <c r="J29" s="257" t="s">
        <v>727</v>
      </c>
      <c r="K29" s="264">
        <v>3</v>
      </c>
      <c r="L29" s="263">
        <v>4</v>
      </c>
      <c r="M29" s="265">
        <f t="shared" si="9"/>
        <v>12</v>
      </c>
      <c r="N29" s="266" t="str">
        <f t="shared" si="10"/>
        <v>EXTREMO</v>
      </c>
      <c r="O29" s="292" t="s">
        <v>901</v>
      </c>
      <c r="P29" s="261" t="s">
        <v>729</v>
      </c>
      <c r="Q29" s="268" t="s">
        <v>730</v>
      </c>
      <c r="R29" s="268" t="s">
        <v>730</v>
      </c>
      <c r="S29" s="269" t="s">
        <v>732</v>
      </c>
      <c r="T29" s="270">
        <v>15</v>
      </c>
      <c r="U29" s="269" t="s">
        <v>733</v>
      </c>
      <c r="V29" s="270">
        <v>15</v>
      </c>
      <c r="W29" s="269" t="s">
        <v>734</v>
      </c>
      <c r="X29" s="270">
        <v>15</v>
      </c>
      <c r="Y29" s="269" t="s">
        <v>735</v>
      </c>
      <c r="Z29" s="270">
        <f>IF(Y29="Prevenir",[7]Listas!$C$36,IF(Y29="Detectar",[7]Listas!$C$37,[7]Listas!$C$38))</f>
        <v>15</v>
      </c>
      <c r="AA29" s="269" t="s">
        <v>736</v>
      </c>
      <c r="AB29" s="270">
        <f>IF(AA29="Confiable",[7]Listas!$C$39,[7]Listas!$C$40)</f>
        <v>15</v>
      </c>
      <c r="AC29" s="269" t="s">
        <v>737</v>
      </c>
      <c r="AD29" s="270">
        <f>IF(AC29="Se investigan y resuelven oportunamente",[7]Listas!$C$41,[7]Listas!$C$42)</f>
        <v>15</v>
      </c>
      <c r="AE29" s="269" t="s">
        <v>900</v>
      </c>
      <c r="AF29" s="270">
        <f>IF(AE29="Completa",[7]Listas!$C$43,IF(AE29="Incompleta",[7]Listas!$C$44,[7]Listas!$C$45))</f>
        <v>0</v>
      </c>
      <c r="AG29" s="261">
        <f t="shared" si="11"/>
        <v>90</v>
      </c>
      <c r="AH29" s="263">
        <f>AVERAGE(AG29:AG29)</f>
        <v>90</v>
      </c>
      <c r="AI29" s="264">
        <v>2</v>
      </c>
      <c r="AJ29" s="263">
        <v>3</v>
      </c>
      <c r="AK29" s="265">
        <f>AI29*AJ29</f>
        <v>6</v>
      </c>
      <c r="AL29" s="271" t="str">
        <f>IF(AND(AI29=1,AJ29=1),"BAJO",IF(AND(AI29=1,AJ29=2),"BAJO",IF(AND(AI29=2,AJ29=1),"BAJO",IF(AND(AI29=2,AJ29=2),"BAJO",IF(AND(AI29=3,AJ29=1),"BAJO",IF(AND(AI29=1,AJ29=3),"MODERADO",IF(AND(AI29=2,AJ29=3),"MODERADO",IF(AND(AI29=3,AJ29=2),"MODERADO",IF(AND(AI29=4,AJ29=1),"MODERADO",IF(AND(AI29=5,AJ29=1),"ALTO",IF(AND(AI29=4,AJ29=2),"ALTO",IF(AND(AI29=3,AJ29=3),"ALTO",IF(AND(AI29=2,AJ29=4),"ALTO",IF(AND(AI29=1,AJ29=4),"ALTO",IF(AND(AI29=5,AJ29=2),"ALTO",IF(AND(AI29=4,AJ29=3),"ALTO","EXTREMO"))))))))))))))))</f>
        <v>MODERADO</v>
      </c>
      <c r="AM29" s="269" t="s">
        <v>785</v>
      </c>
      <c r="AN29" s="257" t="s">
        <v>899</v>
      </c>
      <c r="AO29" s="272" t="s">
        <v>898</v>
      </c>
      <c r="AP29" s="272" t="s">
        <v>897</v>
      </c>
      <c r="AQ29" s="273" t="s">
        <v>896</v>
      </c>
      <c r="AR29" s="272" t="s">
        <v>895</v>
      </c>
    </row>
    <row r="30" spans="1:44" ht="243" x14ac:dyDescent="0.25">
      <c r="A30" s="260" t="s">
        <v>0</v>
      </c>
      <c r="B30" s="261">
        <v>1</v>
      </c>
      <c r="C30" s="262"/>
      <c r="D30" s="268"/>
      <c r="E30" s="268"/>
      <c r="F30" s="268"/>
      <c r="G30" s="296" t="s">
        <v>911</v>
      </c>
      <c r="H30" s="296" t="s">
        <v>912</v>
      </c>
      <c r="I30" s="292" t="s">
        <v>913</v>
      </c>
      <c r="J30" s="257" t="s">
        <v>727</v>
      </c>
      <c r="K30" s="264">
        <v>2</v>
      </c>
      <c r="L30" s="263">
        <v>4</v>
      </c>
      <c r="M30" s="265">
        <f t="shared" si="9"/>
        <v>8</v>
      </c>
      <c r="N30" s="266" t="str">
        <f t="shared" si="10"/>
        <v>ALTO</v>
      </c>
      <c r="O30" s="272" t="s">
        <v>914</v>
      </c>
      <c r="P30" s="261" t="s">
        <v>729</v>
      </c>
      <c r="Q30" s="268" t="s">
        <v>730</v>
      </c>
      <c r="R30" s="268" t="s">
        <v>730</v>
      </c>
      <c r="S30" s="269" t="s">
        <v>732</v>
      </c>
      <c r="T30" s="270">
        <f>IF(S30="Asignado",[8]Listas!$C$30,[8]Listas!$C$31)</f>
        <v>15</v>
      </c>
      <c r="U30" s="269" t="s">
        <v>733</v>
      </c>
      <c r="V30" s="270">
        <f>IF(U30="Adecuado",[8]Listas!$C$32,[8]Listas!$C$33)</f>
        <v>15</v>
      </c>
      <c r="W30" s="269" t="s">
        <v>734</v>
      </c>
      <c r="X30" s="270">
        <f>IF(W30="Oportuna",[8]Listas!$C$34,[8]Listas!$C$35)</f>
        <v>15</v>
      </c>
      <c r="Y30" s="269" t="s">
        <v>735</v>
      </c>
      <c r="Z30" s="270">
        <f>IF(Y30="Prevenir",[8]Listas!$C$36,IF(Y30="Detectar",[8]Listas!$C$37,[8]Listas!$C$38))</f>
        <v>15</v>
      </c>
      <c r="AA30" s="269" t="s">
        <v>736</v>
      </c>
      <c r="AB30" s="270">
        <f>IF(AA30="Confiable",[8]Listas!$C$39,[8]Listas!$C$40)</f>
        <v>15</v>
      </c>
      <c r="AC30" s="269" t="s">
        <v>737</v>
      </c>
      <c r="AD30" s="270">
        <f>IF(AC30="Se investigan y resuelven oportunamente",[8]Listas!$C$41,[8]Listas!$C$42)</f>
        <v>15</v>
      </c>
      <c r="AE30" s="269" t="s">
        <v>738</v>
      </c>
      <c r="AF30" s="270">
        <f>IF(AE30="Completa",[8]Listas!$C$43,IF(AE30="Incompleta",[8]Listas!$C$44,[8]Listas!$C$45))</f>
        <v>10</v>
      </c>
      <c r="AG30" s="261">
        <f t="shared" si="11"/>
        <v>100</v>
      </c>
      <c r="AH30" s="263">
        <f>AVERAGE(AG30:AG30)</f>
        <v>100</v>
      </c>
      <c r="AI30" s="264">
        <v>1</v>
      </c>
      <c r="AJ30" s="263">
        <v>2</v>
      </c>
      <c r="AK30" s="265">
        <f>AI30*AJ30</f>
        <v>2</v>
      </c>
      <c r="AL30" s="271" t="str">
        <f>IF(AND(AI30=1,AJ30=1),"BAJO",IF(AND(AI30=1,AJ30=2),"BAJO",IF(AND(AI30=2,AJ30=1),"BAJO",IF(AND(AI30=2,AJ30=2),"BAJO",IF(AND(AI30=3,AJ30=1),"BAJO",IF(AND(AI30=1,AJ30=3),"MODERADO",IF(AND(AI30=2,AJ30=3),"MODERADO",IF(AND(AI30=3,AJ30=2),"MODERADO",IF(AND(AI30=4,AJ30=1),"MODERADO",IF(AND(AI30=5,AJ30=1),"ALTO",IF(AND(AI30=4,AJ30=2),"ALTO",IF(AND(AI30=3,AJ30=3),"ALTO",IF(AND(AI30=2,AJ30=4),"ALTO",IF(AND(AI30=1,AJ30=4),"ALTO",IF(AND(AI30=5,AJ30=2),"ALTO",IF(AND(AI30=4,AJ30=3),"ALTO","EXTREMO"))))))))))))))))</f>
        <v>BAJO</v>
      </c>
      <c r="AM30" s="269"/>
      <c r="AN30" s="272"/>
      <c r="AO30" s="272"/>
      <c r="AP30" s="272"/>
      <c r="AQ30" s="273"/>
      <c r="AR30" s="272"/>
    </row>
    <row r="31" spans="1:44" ht="108" x14ac:dyDescent="0.25">
      <c r="A31" s="457" t="s">
        <v>292</v>
      </c>
      <c r="B31" s="440">
        <v>1</v>
      </c>
      <c r="C31" s="262"/>
      <c r="D31" s="268" t="s">
        <v>724</v>
      </c>
      <c r="E31" s="268"/>
      <c r="F31" s="268"/>
      <c r="G31" s="298" t="s">
        <v>915</v>
      </c>
      <c r="H31" s="493" t="s">
        <v>916</v>
      </c>
      <c r="I31" s="493" t="s">
        <v>917</v>
      </c>
      <c r="J31" s="443" t="s">
        <v>727</v>
      </c>
      <c r="K31" s="441">
        <v>3</v>
      </c>
      <c r="L31" s="440">
        <v>5</v>
      </c>
      <c r="M31" s="438">
        <f t="shared" si="9"/>
        <v>15</v>
      </c>
      <c r="N31" s="445" t="str">
        <f t="shared" si="10"/>
        <v>EXTREMO</v>
      </c>
      <c r="O31" s="299" t="s">
        <v>918</v>
      </c>
      <c r="P31" s="261" t="s">
        <v>729</v>
      </c>
      <c r="Q31" s="268" t="s">
        <v>730</v>
      </c>
      <c r="R31" s="268" t="s">
        <v>772</v>
      </c>
      <c r="S31" s="269" t="s">
        <v>732</v>
      </c>
      <c r="T31" s="270">
        <f>IF(S31="Asignado",[9]Listas!$C$30,[9]Listas!$C$31)</f>
        <v>15</v>
      </c>
      <c r="U31" s="269" t="s">
        <v>733</v>
      </c>
      <c r="V31" s="270">
        <f>IF(U31="Adecuado",[9]Listas!$C$32,[9]Listas!$C$33)</f>
        <v>15</v>
      </c>
      <c r="W31" s="269" t="s">
        <v>734</v>
      </c>
      <c r="X31" s="270">
        <f>IF(W31="Oportuna",[9]Listas!$C$34,[9]Listas!$C$35)</f>
        <v>15</v>
      </c>
      <c r="Y31" s="269" t="s">
        <v>888</v>
      </c>
      <c r="Z31" s="270">
        <f>IF(Y31="Prevenir",[9]Listas!$C$36,IF(Y31="Detectar",[9]Listas!$C$37,[9]Listas!$C$38))</f>
        <v>0</v>
      </c>
      <c r="AA31" s="269" t="s">
        <v>736</v>
      </c>
      <c r="AB31" s="270">
        <f>IF(AA31="Confiable",[9]Listas!$C$39,[9]Listas!$C$40)</f>
        <v>15</v>
      </c>
      <c r="AC31" s="269" t="s">
        <v>784</v>
      </c>
      <c r="AD31" s="270">
        <f>IF(AC31="Se investigan y resuelven oportunamente",[9]Listas!$C$41,[9]Listas!$C$42)</f>
        <v>0</v>
      </c>
      <c r="AE31" s="269" t="s">
        <v>890</v>
      </c>
      <c r="AF31" s="270">
        <f>IF(AE31="Completa",[9]Listas!$C$43,IF(AE31="Incompleta",[9]Listas!$C$44,[9]Listas!$C$45))</f>
        <v>5</v>
      </c>
      <c r="AG31" s="261">
        <f t="shared" si="11"/>
        <v>65</v>
      </c>
      <c r="AH31" s="440">
        <v>63</v>
      </c>
      <c r="AI31" s="441">
        <v>3</v>
      </c>
      <c r="AJ31" s="440">
        <v>5</v>
      </c>
      <c r="AK31" s="438">
        <f>AI31*AJ31</f>
        <v>15</v>
      </c>
      <c r="AL31" s="439" t="str">
        <f>IF(AND(AI31=1,AJ31=1),"BAJO",IF(AND(AI31=1,AJ31=2),"BAJO",IF(AND(AI31=2,AJ31=1),"BAJO",IF(AND(AI31=2,AJ31=2),"BAJO",IF(AND(AI31=3,AJ31=1),"BAJO",IF(AND(AI31=1,AJ31=3),"MODERADO",IF(AND(AI31=2,AJ31=3),"MODERADO",IF(AND(AI31=3,AJ31=2),"MODERADO",IF(AND(AI31=4,AJ31=1),"MODERADO",IF(AND(AI31=5,AJ31=1),"ALTO",IF(AND(AI31=4,AJ31=2),"ALTO",IF(AND(AI31=3,AJ31=3),"ALTO",IF(AND(AI31=2,AJ31=4),"ALTO",IF(AND(AI31=1,AJ31=4),"ALTO",IF(AND(AI31=5,AJ31=2),"ALTO",IF(AND(AI31=4,AJ31=3),"ALTO","EXTREMO"))))))))))))))))</f>
        <v>EXTREMO</v>
      </c>
      <c r="AM31" s="433" t="s">
        <v>785</v>
      </c>
      <c r="AN31" s="436" t="s">
        <v>919</v>
      </c>
      <c r="AO31" s="436" t="s">
        <v>920</v>
      </c>
      <c r="AP31" s="436" t="s">
        <v>921</v>
      </c>
      <c r="AQ31" s="435" t="s">
        <v>922</v>
      </c>
      <c r="AR31" s="436" t="s">
        <v>923</v>
      </c>
    </row>
    <row r="32" spans="1:44" ht="148.5" x14ac:dyDescent="0.25">
      <c r="A32" s="457"/>
      <c r="B32" s="440"/>
      <c r="C32" s="262"/>
      <c r="D32" s="268"/>
      <c r="E32" s="268"/>
      <c r="F32" s="268"/>
      <c r="G32" s="298" t="s">
        <v>924</v>
      </c>
      <c r="H32" s="493"/>
      <c r="I32" s="493"/>
      <c r="J32" s="443"/>
      <c r="K32" s="441"/>
      <c r="L32" s="440"/>
      <c r="M32" s="438"/>
      <c r="N32" s="445"/>
      <c r="O32" s="300" t="s">
        <v>925</v>
      </c>
      <c r="P32" s="261" t="s">
        <v>729</v>
      </c>
      <c r="Q32" s="268" t="s">
        <v>730</v>
      </c>
      <c r="R32" s="268" t="s">
        <v>730</v>
      </c>
      <c r="S32" s="269" t="s">
        <v>732</v>
      </c>
      <c r="T32" s="270">
        <f>IF(S32="Asignado",[9]Listas!$C$30,[9]Listas!$C$31)</f>
        <v>15</v>
      </c>
      <c r="U32" s="269" t="s">
        <v>733</v>
      </c>
      <c r="V32" s="270">
        <f>IF(U32="Adecuado",[9]Listas!$C$32,[9]Listas!$C$33)</f>
        <v>15</v>
      </c>
      <c r="W32" s="269" t="s">
        <v>734</v>
      </c>
      <c r="X32" s="270">
        <f>IF(W32="Oportuna",[9]Listas!$C$34,[9]Listas!$C$35)</f>
        <v>15</v>
      </c>
      <c r="Y32" s="269" t="s">
        <v>735</v>
      </c>
      <c r="Z32" s="270">
        <f>IF(Y32="Prevenir",[9]Listas!$C$36,IF(Y32="Detectar",[9]Listas!$C$37,[9]Listas!$C$38))</f>
        <v>15</v>
      </c>
      <c r="AA32" s="269" t="s">
        <v>889</v>
      </c>
      <c r="AB32" s="270">
        <f>IF(AA32="Confiable",[9]Listas!$C$39,[9]Listas!$C$40)</f>
        <v>0</v>
      </c>
      <c r="AC32" s="269" t="s">
        <v>784</v>
      </c>
      <c r="AD32" s="270">
        <f>IF(AC32="Se investigan y resuelven oportunamente",[9]Listas!$C$41,[9]Listas!$C$42)</f>
        <v>0</v>
      </c>
      <c r="AE32" s="269" t="s">
        <v>900</v>
      </c>
      <c r="AF32" s="270">
        <f>IF(AE32="Completa",[9]Listas!$C$43,IF(AE32="Incompleta",[9]Listas!$C$44,[9]Listas!$C$45))</f>
        <v>0</v>
      </c>
      <c r="AG32" s="261">
        <f t="shared" si="11"/>
        <v>60</v>
      </c>
      <c r="AH32" s="440"/>
      <c r="AI32" s="441"/>
      <c r="AJ32" s="440"/>
      <c r="AK32" s="438"/>
      <c r="AL32" s="439"/>
      <c r="AM32" s="433"/>
      <c r="AN32" s="436"/>
      <c r="AO32" s="436"/>
      <c r="AP32" s="436"/>
      <c r="AQ32" s="435"/>
      <c r="AR32" s="436"/>
    </row>
    <row r="33" spans="1:44" ht="175.5" x14ac:dyDescent="0.25">
      <c r="A33" s="457"/>
      <c r="B33" s="301">
        <v>2</v>
      </c>
      <c r="C33" s="262"/>
      <c r="D33" s="268" t="s">
        <v>724</v>
      </c>
      <c r="E33" s="268"/>
      <c r="F33" s="268"/>
      <c r="G33" s="298" t="s">
        <v>924</v>
      </c>
      <c r="H33" s="298" t="s">
        <v>926</v>
      </c>
      <c r="I33" s="302" t="s">
        <v>917</v>
      </c>
      <c r="J33" s="257" t="s">
        <v>727</v>
      </c>
      <c r="K33" s="264">
        <v>3</v>
      </c>
      <c r="L33" s="263">
        <v>4</v>
      </c>
      <c r="M33" s="265">
        <f>K33*L33</f>
        <v>12</v>
      </c>
      <c r="N33" s="266" t="str">
        <f>IF(AND(K33=1,L33=1),"BAJO",IF(AND(K33=1,L33=2),"BAJO",IF(AND(K33=2,L33=1),"BAJO",IF(AND(K33=2,L33=2),"BAJO",IF(AND(K33=3,L33=1),"BAJO",IF(AND(K33=1,L33=3),"MODERADO",IF(AND(K33=2,L33=3),"MODERADO",IF(AND(K33=3,L33=2),"MODERADO",IF(AND(K33=4,L33=1),"MODERADO",IF(AND(K33=5,L33=1),"ALTO",IF(AND(K33=4,L33=2),"ALTO",IF(AND(K33=3,L33=3),"ALTO",IF(AND(K33=2,L33=4),"ALTO",IF(AND(K33=1,L33=4),"ALTO",IF(AND(K33=5,L33=2),"ALTO",IF(AND(K33=4,L33=3),"ALTO","EXTREMO"))))))))))))))))</f>
        <v>EXTREMO</v>
      </c>
      <c r="O33" s="267" t="s">
        <v>927</v>
      </c>
      <c r="P33" s="261" t="s">
        <v>729</v>
      </c>
      <c r="Q33" s="268" t="s">
        <v>730</v>
      </c>
      <c r="R33" s="268" t="s">
        <v>730</v>
      </c>
      <c r="S33" s="269" t="s">
        <v>732</v>
      </c>
      <c r="T33" s="270">
        <f>IF(S33="Asignado",[9]Listas!$C$30,[9]Listas!$C$31)</f>
        <v>15</v>
      </c>
      <c r="U33" s="269" t="s">
        <v>733</v>
      </c>
      <c r="V33" s="270">
        <f>IF(U33="Adecuado",[9]Listas!$C$32,[9]Listas!$C$33)</f>
        <v>15</v>
      </c>
      <c r="W33" s="269" t="s">
        <v>734</v>
      </c>
      <c r="X33" s="270">
        <f>IF(W33="Oportuna",[9]Listas!$C$34,[9]Listas!$C$35)</f>
        <v>15</v>
      </c>
      <c r="Y33" s="269" t="s">
        <v>735</v>
      </c>
      <c r="Z33" s="270">
        <f>IF(Y33="Prevenir",[9]Listas!$C$36,IF(Y33="Detectar",[9]Listas!$C$37,[9]Listas!$C$38))</f>
        <v>15</v>
      </c>
      <c r="AA33" s="269" t="s">
        <v>736</v>
      </c>
      <c r="AB33" s="270">
        <f>IF(AA33="Confiable",[9]Listas!$C$39,[9]Listas!$C$40)</f>
        <v>15</v>
      </c>
      <c r="AC33" s="269" t="s">
        <v>737</v>
      </c>
      <c r="AD33" s="270">
        <f>IF(AC33="Se investigan y resuelven oportunamente",[9]Listas!$C$41,[9]Listas!$C$42)</f>
        <v>15</v>
      </c>
      <c r="AE33" s="269" t="s">
        <v>738</v>
      </c>
      <c r="AF33" s="270">
        <f>IF(AE33="Completa",[9]Listas!$C$43,IF(AE33="Incompleta",[9]Listas!$C$44,[9]Listas!$C$45))</f>
        <v>10</v>
      </c>
      <c r="AG33" s="261">
        <f t="shared" si="11"/>
        <v>100</v>
      </c>
      <c r="AH33" s="263">
        <f>AVERAGE(AG33:AG33)</f>
        <v>100</v>
      </c>
      <c r="AI33" s="264">
        <v>1</v>
      </c>
      <c r="AJ33" s="263">
        <v>2</v>
      </c>
      <c r="AK33" s="265">
        <f>AI33*AJ33</f>
        <v>2</v>
      </c>
      <c r="AL33" s="271" t="str">
        <f>IF(AND(AI33=1,AJ33=1),"BAJO",IF(AND(AI33=1,AJ33=2),"BAJO",IF(AND(AI33=2,AJ33=1),"BAJO",IF(AND(AI33=2,AJ33=2),"BAJO",IF(AND(AI33=3,AJ33=1),"BAJO",IF(AND(AI33=1,AJ33=3),"MODERADO",IF(AND(AI33=2,AJ33=3),"MODERADO",IF(AND(AI33=3,AJ33=2),"MODERADO",IF(AND(AI33=4,AJ33=1),"MODERADO",IF(AND(AI33=5,AJ33=1),"ALTO",IF(AND(AI33=4,AJ33=2),"ALTO",IF(AND(AI33=3,AJ33=3),"ALTO",IF(AND(AI33=2,AJ33=4),"ALTO",IF(AND(AI33=1,AJ33=4),"ALTO",IF(AND(AI33=5,AJ33=2),"ALTO",IF(AND(AI33=4,AJ33=3),"ALTO","EXTREMO"))))))))))))))))</f>
        <v>BAJO</v>
      </c>
      <c r="AM33" s="269"/>
      <c r="AN33" s="272"/>
      <c r="AO33" s="272"/>
      <c r="AP33" s="272"/>
      <c r="AQ33" s="273"/>
      <c r="AR33" s="272"/>
    </row>
    <row r="34" spans="1:44" ht="81" x14ac:dyDescent="0.25">
      <c r="A34" s="463" t="s">
        <v>2</v>
      </c>
      <c r="B34" s="440">
        <v>7</v>
      </c>
      <c r="C34" s="450" t="s">
        <v>779</v>
      </c>
      <c r="D34" s="268" t="s">
        <v>833</v>
      </c>
      <c r="E34" s="268"/>
      <c r="F34" s="268"/>
      <c r="G34" s="287" t="s">
        <v>834</v>
      </c>
      <c r="H34" s="450" t="s">
        <v>835</v>
      </c>
      <c r="I34" s="442" t="s">
        <v>836</v>
      </c>
      <c r="J34" s="443" t="s">
        <v>727</v>
      </c>
      <c r="K34" s="441">
        <v>3</v>
      </c>
      <c r="L34" s="440">
        <v>5</v>
      </c>
      <c r="M34" s="438">
        <f>K34*L34</f>
        <v>15</v>
      </c>
      <c r="N34" s="445" t="str">
        <f>IF(AND(K34=1,L34=1),"BAJO",IF(AND(K34=1,L34=2),"BAJO",IF(AND(K34=2,L34=1),"BAJO",IF(AND(K34=2,L34=2),"BAJO",IF(AND(K34=3,L34=1),"BAJO",IF(AND(K34=1,L34=3),"MODERADO",IF(AND(K34=2,L34=3),"MODERADO",IF(AND(K34=3,L34=2),"MODERADO",IF(AND(K34=4,L34=1),"MODERADO",IF(AND(K34=5,L34=1),"ALTO",IF(AND(K34=4,L34=2),"ALTO",IF(AND(K34=3,L34=3),"ALTO",IF(AND(K34=2,L34=4),"ALTO",IF(AND(K34=1,L34=4),"ALTO",IF(AND(K34=5,L34=2),"ALTO",IF(AND(K34=4,L34=3),"ALTO","EXTREMO"))))))))))))))))</f>
        <v>EXTREMO</v>
      </c>
      <c r="O34" s="272" t="s">
        <v>837</v>
      </c>
      <c r="P34" s="261" t="s">
        <v>729</v>
      </c>
      <c r="Q34" s="268" t="s">
        <v>772</v>
      </c>
      <c r="R34" s="268" t="s">
        <v>730</v>
      </c>
      <c r="S34" s="269" t="s">
        <v>732</v>
      </c>
      <c r="T34" s="270">
        <f>IF(S34="Asignado",[10]Listas!$C$30,[10]Listas!$C$31)</f>
        <v>15</v>
      </c>
      <c r="U34" s="269" t="s">
        <v>733</v>
      </c>
      <c r="V34" s="270">
        <f>IF(U34="Adecuado",[10]Listas!$C$32,[10]Listas!$C$33)</f>
        <v>15</v>
      </c>
      <c r="W34" s="269" t="s">
        <v>734</v>
      </c>
      <c r="X34" s="270">
        <f>IF(W34="Oportuna",[10]Listas!$C$34,[10]Listas!$C$35)</f>
        <v>15</v>
      </c>
      <c r="Y34" s="269" t="s">
        <v>735</v>
      </c>
      <c r="Z34" s="270">
        <f>IF(Y34="Prevenir",[10]Listas!$C$36,IF(Y34="Detectar",[10]Listas!$C$37,[10]Listas!$C$38))</f>
        <v>15</v>
      </c>
      <c r="AA34" s="269" t="s">
        <v>736</v>
      </c>
      <c r="AB34" s="270">
        <f>IF(AA34="Confiable",[10]Listas!$C$39,[10]Listas!$C$40)</f>
        <v>15</v>
      </c>
      <c r="AC34" s="269" t="s">
        <v>737</v>
      </c>
      <c r="AD34" s="270">
        <f>IF(AC34="Se investigan y resuelven oportunamente",[10]Listas!$C$41,[10]Listas!$C$42)</f>
        <v>15</v>
      </c>
      <c r="AE34" s="269" t="s">
        <v>738</v>
      </c>
      <c r="AF34" s="270">
        <f>IF(AE34="Completa",[10]Listas!$C$43,IF(AE34="Incompleta",[10]Listas!$C$44,[10]Listas!$C$45))</f>
        <v>10</v>
      </c>
      <c r="AG34" s="261">
        <f t="shared" ref="AG34:AG35" si="12">T34+V34+X34+Z34+AB34+AD34+AF34</f>
        <v>100</v>
      </c>
      <c r="AH34" s="440">
        <f>AVERAGE(AG34:AG35)</f>
        <v>100</v>
      </c>
      <c r="AI34" s="441">
        <v>1</v>
      </c>
      <c r="AJ34" s="440">
        <v>3</v>
      </c>
      <c r="AK34" s="438">
        <f>AI34*AJ34</f>
        <v>3</v>
      </c>
      <c r="AL34" s="445" t="str">
        <f>IF(AND(AI34=1,AJ34=1),"BAJO",IF(AND(AI34=1,AJ34=2),"BAJO",IF(AND(AI34=2,AJ34=1),"BAJO",IF(AND(AI34=2,AJ34=2),"BAJO",IF(AND(AI34=3,AJ34=1),"BAJO",IF(AND(AI34=1,AJ34=3),"MODERADO",IF(AND(AI34=2,AJ34=3),"MODERADO",IF(AND(AI34=3,AJ34=2),"MODERADO",IF(AND(AI34=4,AJ34=1),"MODERADO",IF(AND(AI34=5,AJ34=1),"ALTO",IF(AND(AI34=4,AJ34=2),"ALTO",IF(AND(AI34=3,AJ34=3),"ALTO",IF(AND(AI34=2,AJ34=4),"ALTO",IF(AND(AI34=1,AJ34=4),"ALTO",IF(AND(AI34=5,AJ34=2),"ALTO",IF(AND(AI34=4,AJ34=3),"ALTO","EXTREMO"))))))))))))))))</f>
        <v>MODERADO</v>
      </c>
      <c r="AM34" s="433" t="s">
        <v>739</v>
      </c>
      <c r="AN34" s="451" t="s">
        <v>838</v>
      </c>
      <c r="AO34" s="436" t="s">
        <v>839</v>
      </c>
      <c r="AP34" s="436" t="s">
        <v>840</v>
      </c>
      <c r="AQ34" s="452" t="s">
        <v>841</v>
      </c>
      <c r="AR34" s="436" t="s">
        <v>842</v>
      </c>
    </row>
    <row r="35" spans="1:44" ht="67.5" x14ac:dyDescent="0.25">
      <c r="A35" s="463"/>
      <c r="B35" s="440"/>
      <c r="C35" s="450"/>
      <c r="D35" s="268" t="s">
        <v>724</v>
      </c>
      <c r="E35" s="268"/>
      <c r="F35" s="268"/>
      <c r="G35" s="287" t="s">
        <v>843</v>
      </c>
      <c r="H35" s="450"/>
      <c r="I35" s="442"/>
      <c r="J35" s="443"/>
      <c r="K35" s="441"/>
      <c r="L35" s="440"/>
      <c r="M35" s="438"/>
      <c r="N35" s="445"/>
      <c r="O35" s="287" t="s">
        <v>844</v>
      </c>
      <c r="P35" s="261" t="s">
        <v>729</v>
      </c>
      <c r="Q35" s="268" t="s">
        <v>730</v>
      </c>
      <c r="R35" s="268" t="s">
        <v>731</v>
      </c>
      <c r="S35" s="269" t="s">
        <v>732</v>
      </c>
      <c r="T35" s="270">
        <f>IF(S35="Asignado",[10]Listas!$C$30,[10]Listas!$C$31)</f>
        <v>15</v>
      </c>
      <c r="U35" s="269" t="s">
        <v>733</v>
      </c>
      <c r="V35" s="270">
        <f>IF(U35="Adecuado",[10]Listas!$C$32,[10]Listas!$C$33)</f>
        <v>15</v>
      </c>
      <c r="W35" s="269" t="s">
        <v>734</v>
      </c>
      <c r="X35" s="270">
        <f>IF(W35="Oportuna",[10]Listas!$C$34,[10]Listas!$C$35)</f>
        <v>15</v>
      </c>
      <c r="Y35" s="269" t="s">
        <v>735</v>
      </c>
      <c r="Z35" s="270">
        <f>IF(Y35="Prevenir",[10]Listas!$C$36,IF(Y35="Detectar",[10]Listas!$C$37,[10]Listas!$C$38))</f>
        <v>15</v>
      </c>
      <c r="AA35" s="269" t="s">
        <v>736</v>
      </c>
      <c r="AB35" s="270">
        <f>IF(AA35="Confiable",[10]Listas!$C$39,[10]Listas!$C$40)</f>
        <v>15</v>
      </c>
      <c r="AC35" s="269" t="s">
        <v>737</v>
      </c>
      <c r="AD35" s="270">
        <f>IF(AC35="Se investigan y resuelven oportunamente",[10]Listas!$C$41,[10]Listas!$C$42)</f>
        <v>15</v>
      </c>
      <c r="AE35" s="269" t="s">
        <v>738</v>
      </c>
      <c r="AF35" s="270">
        <f>IF(AE35="Completa",[10]Listas!$C$43,IF(AE35="Incompleta",[10]Listas!$C$44,[10]Listas!$C$45))</f>
        <v>10</v>
      </c>
      <c r="AG35" s="261">
        <f t="shared" si="12"/>
        <v>100</v>
      </c>
      <c r="AH35" s="440"/>
      <c r="AI35" s="441"/>
      <c r="AJ35" s="440"/>
      <c r="AK35" s="438"/>
      <c r="AL35" s="445"/>
      <c r="AM35" s="433"/>
      <c r="AN35" s="451"/>
      <c r="AO35" s="436"/>
      <c r="AP35" s="436"/>
      <c r="AQ35" s="453"/>
      <c r="AR35" s="436"/>
    </row>
    <row r="36" spans="1:44" x14ac:dyDescent="0.25">
      <c r="A36" s="463"/>
      <c r="B36" s="440">
        <v>8</v>
      </c>
      <c r="C36" s="433" t="s">
        <v>779</v>
      </c>
      <c r="D36" s="268" t="s">
        <v>745</v>
      </c>
      <c r="E36" s="268"/>
      <c r="F36" s="268"/>
      <c r="G36" s="287" t="s">
        <v>845</v>
      </c>
      <c r="H36" s="433" t="s">
        <v>846</v>
      </c>
      <c r="I36" s="492" t="s">
        <v>847</v>
      </c>
      <c r="J36" s="443" t="s">
        <v>727</v>
      </c>
      <c r="K36" s="441">
        <v>3</v>
      </c>
      <c r="L36" s="440">
        <v>5</v>
      </c>
      <c r="M36" s="438">
        <f t="shared" ref="M36" si="13">K36*L36</f>
        <v>15</v>
      </c>
      <c r="N36" s="445" t="str">
        <f t="shared" ref="N36" si="14">IF(AND(K36=1,L36=1),"BAJO",IF(AND(K36=1,L36=2),"BAJO",IF(AND(K36=2,L36=1),"BAJO",IF(AND(K36=2,L36=2),"BAJO",IF(AND(K36=3,L36=1),"BAJO",IF(AND(K36=1,L36=3),"MODERADO",IF(AND(K36=2,L36=3),"MODERADO",IF(AND(K36=3,L36=2),"MODERADO",IF(AND(K36=4,L36=1),"MODERADO",IF(AND(K36=5,L36=1),"ALTO",IF(AND(K36=4,L36=2),"ALTO",IF(AND(K36=3,L36=3),"ALTO",IF(AND(K36=2,L36=4),"ALTO",IF(AND(K36=1,L36=4),"ALTO",IF(AND(K36=5,L36=2),"ALTO",IF(AND(K36=4,L36=3),"ALTO","EXTREMO"))))))))))))))))</f>
        <v>EXTREMO</v>
      </c>
      <c r="O36" s="451" t="s">
        <v>848</v>
      </c>
      <c r="P36" s="440" t="s">
        <v>729</v>
      </c>
      <c r="Q36" s="436" t="s">
        <v>730</v>
      </c>
      <c r="R36" s="436" t="s">
        <v>731</v>
      </c>
      <c r="S36" s="433" t="s">
        <v>732</v>
      </c>
      <c r="T36" s="433">
        <f>IF(S36="Asignado",[10]Listas!$C$30,[10]Listas!$C$31)</f>
        <v>15</v>
      </c>
      <c r="U36" s="433" t="s">
        <v>733</v>
      </c>
      <c r="V36" s="433">
        <f>IF(U36="Adecuado",[10]Listas!$C$32,[10]Listas!$C$33)</f>
        <v>15</v>
      </c>
      <c r="W36" s="433" t="s">
        <v>734</v>
      </c>
      <c r="X36" s="433">
        <f>IF(W36="Oportuna",[10]Listas!$C$34,[10]Listas!$C$35)</f>
        <v>15</v>
      </c>
      <c r="Y36" s="433" t="s">
        <v>735</v>
      </c>
      <c r="Z36" s="433">
        <f>IF(Y36="Prevenir",[10]Listas!$C$36,IF(Y36="Detectar",[10]Listas!$C$37,[10]Listas!$C$38))</f>
        <v>15</v>
      </c>
      <c r="AA36" s="433" t="s">
        <v>736</v>
      </c>
      <c r="AB36" s="433">
        <f>IF(AA36="Confiable",[10]Listas!$C$39,[10]Listas!$C$40)</f>
        <v>15</v>
      </c>
      <c r="AC36" s="433" t="s">
        <v>737</v>
      </c>
      <c r="AD36" s="433">
        <f>IF(AC36="Se investigan y resuelven oportunamente",[10]Listas!$C$41,[10]Listas!$C$42)</f>
        <v>15</v>
      </c>
      <c r="AE36" s="433" t="s">
        <v>738</v>
      </c>
      <c r="AF36" s="433">
        <f>IF(AE36="Completa",[10]Listas!$C$43,IF(AE36="Incompleta",[10]Listas!$C$44,[10]Listas!$C$45))</f>
        <v>10</v>
      </c>
      <c r="AG36" s="440">
        <f>T36+V36+X36+Z36+AB36+AD36+AF36</f>
        <v>100</v>
      </c>
      <c r="AH36" s="440">
        <f>AVERAGE(AG36:AG37)</f>
        <v>100</v>
      </c>
      <c r="AI36" s="441">
        <v>1</v>
      </c>
      <c r="AJ36" s="440">
        <v>5</v>
      </c>
      <c r="AK36" s="438">
        <f>+AI36*AJ36</f>
        <v>5</v>
      </c>
      <c r="AL36" s="445" t="str">
        <f t="shared" ref="AL36" si="15">IF(AND(AI36=1,AJ36=1),"BAJO",IF(AND(AI36=1,AJ36=2),"BAJO",IF(AND(AI36=2,AJ36=1),"BAJO",IF(AND(AI36=2,AJ36=2),"BAJO",IF(AND(AI36=3,AJ36=1),"BAJO",IF(AND(AI36=1,AJ36=3),"MODERADO",IF(AND(AI36=2,AJ36=3),"MODERADO",IF(AND(AI36=3,AJ36=2),"MODERADO",IF(AND(AI36=4,AJ36=1),"MODERADO",IF(AND(AI36=5,AJ36=1),"ALTO",IF(AND(AI36=4,AJ36=2),"ALTO",IF(AND(AI36=3,AJ36=3),"ALTO",IF(AND(AI36=2,AJ36=4),"ALTO",IF(AND(AI36=1,AJ36=4),"ALTO",IF(AND(AI36=5,AJ36=2),"ALTO",IF(AND(AI36=4,AJ36=3),"ALTO","EXTREMO"))))))))))))))))</f>
        <v>EXTREMO</v>
      </c>
      <c r="AM36" s="433" t="s">
        <v>739</v>
      </c>
      <c r="AN36" s="451" t="s">
        <v>849</v>
      </c>
      <c r="AO36" s="436" t="s">
        <v>850</v>
      </c>
      <c r="AP36" s="436" t="s">
        <v>840</v>
      </c>
      <c r="AQ36" s="437" t="s">
        <v>841</v>
      </c>
      <c r="AR36" s="436" t="s">
        <v>851</v>
      </c>
    </row>
    <row r="37" spans="1:44" ht="27" x14ac:dyDescent="0.25">
      <c r="A37" s="463"/>
      <c r="B37" s="440"/>
      <c r="C37" s="433"/>
      <c r="D37" s="268" t="s">
        <v>833</v>
      </c>
      <c r="E37" s="268" t="s">
        <v>852</v>
      </c>
      <c r="F37" s="268"/>
      <c r="G37" s="287" t="s">
        <v>853</v>
      </c>
      <c r="H37" s="433"/>
      <c r="I37" s="492"/>
      <c r="J37" s="443"/>
      <c r="K37" s="441"/>
      <c r="L37" s="440"/>
      <c r="M37" s="438"/>
      <c r="N37" s="445"/>
      <c r="O37" s="451"/>
      <c r="P37" s="440"/>
      <c r="Q37" s="436"/>
      <c r="R37" s="436"/>
      <c r="S37" s="433"/>
      <c r="T37" s="433"/>
      <c r="U37" s="433"/>
      <c r="V37" s="433"/>
      <c r="W37" s="433"/>
      <c r="X37" s="433"/>
      <c r="Y37" s="433"/>
      <c r="Z37" s="433"/>
      <c r="AA37" s="433"/>
      <c r="AB37" s="433"/>
      <c r="AC37" s="433"/>
      <c r="AD37" s="433"/>
      <c r="AE37" s="433"/>
      <c r="AF37" s="433"/>
      <c r="AG37" s="440"/>
      <c r="AH37" s="440"/>
      <c r="AI37" s="441"/>
      <c r="AJ37" s="440"/>
      <c r="AK37" s="438"/>
      <c r="AL37" s="445"/>
      <c r="AM37" s="433"/>
      <c r="AN37" s="451"/>
      <c r="AO37" s="436"/>
      <c r="AP37" s="436"/>
      <c r="AQ37" s="436"/>
      <c r="AR37" s="436"/>
    </row>
    <row r="38" spans="1:44" ht="54" x14ac:dyDescent="0.25">
      <c r="A38" s="449" t="s">
        <v>344</v>
      </c>
      <c r="B38" s="440">
        <v>3</v>
      </c>
      <c r="C38" s="450" t="s">
        <v>779</v>
      </c>
      <c r="D38" s="268" t="s">
        <v>724</v>
      </c>
      <c r="E38" s="268"/>
      <c r="F38" s="268" t="s">
        <v>508</v>
      </c>
      <c r="G38" s="287" t="s">
        <v>780</v>
      </c>
      <c r="H38" s="433" t="s">
        <v>781</v>
      </c>
      <c r="I38" s="442" t="s">
        <v>782</v>
      </c>
      <c r="J38" s="443" t="s">
        <v>727</v>
      </c>
      <c r="K38" s="441">
        <v>1</v>
      </c>
      <c r="L38" s="440">
        <v>4</v>
      </c>
      <c r="M38" s="438">
        <f t="shared" ref="M38" si="16">K38*L38</f>
        <v>4</v>
      </c>
      <c r="N38" s="445" t="str">
        <f t="shared" ref="N38" si="17">IF(AND(K38=1,L38=1),"BAJO",IF(AND(K38=1,L38=2),"BAJO",IF(AND(K38=2,L38=1),"BAJO",IF(AND(K38=2,L38=2),"BAJO",IF(AND(K38=3,L38=1),"BAJO",IF(AND(K38=1,L38=3),"MODERADO",IF(AND(K38=2,L38=3),"MODERADO",IF(AND(K38=3,L38=2),"MODERADO",IF(AND(K38=4,L38=1),"MODERADO",IF(AND(K38=5,L38=1),"ALTO",IF(AND(K38=4,L38=2),"ALTO",IF(AND(K38=3,L38=3),"ALTO",IF(AND(K38=2,L38=4),"ALTO",IF(AND(K38=1,L38=4),"ALTO",IF(AND(K38=5,L38=2),"ALTO",IF(AND(K38=4,L38=3),"ALTO","EXTREMO"))))))))))))))))</f>
        <v>ALTO</v>
      </c>
      <c r="O38" s="272" t="s">
        <v>783</v>
      </c>
      <c r="P38" s="261" t="s">
        <v>729</v>
      </c>
      <c r="Q38" s="268" t="s">
        <v>730</v>
      </c>
      <c r="R38" s="268" t="s">
        <v>772</v>
      </c>
      <c r="S38" s="269" t="s">
        <v>732</v>
      </c>
      <c r="T38" s="270">
        <f>IF(S38="Asignado",[11]Listas!$C$30,[11]Listas!$C$31)</f>
        <v>15</v>
      </c>
      <c r="U38" s="269" t="s">
        <v>733</v>
      </c>
      <c r="V38" s="270">
        <f>IF(U38="Adecuado",[11]Listas!$C$32,[11]Listas!$C$33)</f>
        <v>15</v>
      </c>
      <c r="W38" s="269" t="s">
        <v>734</v>
      </c>
      <c r="X38" s="270">
        <f>IF(W38="Oportuna",[11]Listas!$C$34,[11]Listas!$C$35)</f>
        <v>15</v>
      </c>
      <c r="Y38" s="269" t="s">
        <v>735</v>
      </c>
      <c r="Z38" s="270">
        <f>IF(Y38="Prevenir",[11]Listas!$C$36,IF(Y38="Detectar",[11]Listas!$C$37,[11]Listas!$C$38))</f>
        <v>15</v>
      </c>
      <c r="AA38" s="269" t="s">
        <v>736</v>
      </c>
      <c r="AB38" s="270">
        <f>IF(AA38="Confiable",[11]Listas!$C$39,[11]Listas!$C$40)</f>
        <v>15</v>
      </c>
      <c r="AC38" s="269" t="s">
        <v>784</v>
      </c>
      <c r="AD38" s="270">
        <f>IF(AC38="Se investigan y resuelven oportunamente",[11]Listas!$C$41,[11]Listas!$C$42)</f>
        <v>0</v>
      </c>
      <c r="AE38" s="269" t="s">
        <v>738</v>
      </c>
      <c r="AF38" s="270">
        <f>IF(AE38="Completa",[11]Listas!$C$43,IF(AE38="Incompleta",[11]Listas!$C$44,[11]Listas!$C$45))</f>
        <v>10</v>
      </c>
      <c r="AG38" s="440">
        <f t="shared" ref="AG38" si="18">T38+V38+X38+Z38+AB38+AD38+AF38</f>
        <v>85</v>
      </c>
      <c r="AH38" s="440">
        <f>AVERAGE(AG38:AG42)</f>
        <v>85</v>
      </c>
      <c r="AI38" s="441">
        <v>1</v>
      </c>
      <c r="AJ38" s="440">
        <v>4</v>
      </c>
      <c r="AK38" s="438">
        <f>+AI38*AJ38</f>
        <v>4</v>
      </c>
      <c r="AL38" s="445" t="str">
        <f t="shared" ref="AL38" si="19">IF(AND(AI38=1,AJ38=1),"BAJO",IF(AND(AI38=1,AJ38=2),"BAJO",IF(AND(AI38=2,AJ38=1),"BAJO",IF(AND(AI38=2,AJ38=2),"BAJO",IF(AND(AI38=3,AJ38=1),"BAJO",IF(AND(AI38=1,AJ38=3),"MODERADO",IF(AND(AI38=2,AJ38=3),"MODERADO",IF(AND(AI38=3,AJ38=2),"MODERADO",IF(AND(AI38=4,AJ38=1),"MODERADO",IF(AND(AI38=5,AJ38=1),"ALTO",IF(AND(AI38=4,AJ38=2),"ALTO",IF(AND(AI38=3,AJ38=3),"ALTO",IF(AND(AI38=2,AJ38=4),"ALTO",IF(AND(AI38=1,AJ38=4),"ALTO",IF(AND(AI38=5,AJ38=2),"ALTO",IF(AND(AI38=4,AJ38=3),"ALTO","EXTREMO"))))))))))))))))</f>
        <v>ALTO</v>
      </c>
      <c r="AM38" s="433" t="s">
        <v>785</v>
      </c>
      <c r="AN38" s="451" t="s">
        <v>786</v>
      </c>
      <c r="AO38" s="436" t="s">
        <v>787</v>
      </c>
      <c r="AP38" s="436" t="s">
        <v>788</v>
      </c>
      <c r="AQ38" s="436" t="s">
        <v>789</v>
      </c>
      <c r="AR38" s="436" t="s">
        <v>790</v>
      </c>
    </row>
    <row r="39" spans="1:44" ht="67.5" x14ac:dyDescent="0.25">
      <c r="A39" s="449"/>
      <c r="B39" s="440"/>
      <c r="C39" s="450"/>
      <c r="D39" s="268" t="s">
        <v>724</v>
      </c>
      <c r="E39" s="268"/>
      <c r="F39" s="268"/>
      <c r="G39" s="287" t="s">
        <v>791</v>
      </c>
      <c r="H39" s="433"/>
      <c r="I39" s="442"/>
      <c r="J39" s="443"/>
      <c r="K39" s="441"/>
      <c r="L39" s="440"/>
      <c r="M39" s="438"/>
      <c r="N39" s="445"/>
      <c r="O39" s="286"/>
      <c r="P39" s="261"/>
      <c r="Q39" s="268"/>
      <c r="R39" s="268"/>
      <c r="S39" s="269"/>
      <c r="T39" s="270">
        <f>IF(S39="Asignado",[11]Listas!$C$30,[11]Listas!$C$31)</f>
        <v>0</v>
      </c>
      <c r="U39" s="269"/>
      <c r="V39" s="270">
        <f>IF(U39="Adecuado",[11]Listas!$C$32,[11]Listas!$C$33)</f>
        <v>0</v>
      </c>
      <c r="W39" s="269"/>
      <c r="X39" s="270">
        <f>IF(W39="Oportuna",[11]Listas!$C$34,[11]Listas!$C$35)</f>
        <v>0</v>
      </c>
      <c r="Y39" s="269"/>
      <c r="Z39" s="270">
        <f>IF(Y39="Prevenir",[11]Listas!$C$36,IF(Y39="Detectar",[11]Listas!$C$37,[11]Listas!$C$38))</f>
        <v>0</v>
      </c>
      <c r="AA39" s="269"/>
      <c r="AB39" s="270">
        <f>IF(AA39="Confiable",[11]Listas!$C$39,[11]Listas!$C$40)</f>
        <v>0</v>
      </c>
      <c r="AC39" s="269"/>
      <c r="AD39" s="270">
        <f>IF(AC39="Se investigan y resuelven oportunamente",[11]Listas!$C$41,[11]Listas!$C$42)</f>
        <v>0</v>
      </c>
      <c r="AE39" s="269"/>
      <c r="AF39" s="270">
        <f>IF(AE39="Completa",[11]Listas!$C$43,IF(AE39="Incompleta",[11]Listas!$C$44,[11]Listas!$C$45))</f>
        <v>0</v>
      </c>
      <c r="AG39" s="440"/>
      <c r="AH39" s="440"/>
      <c r="AI39" s="441"/>
      <c r="AJ39" s="440"/>
      <c r="AK39" s="438"/>
      <c r="AL39" s="445"/>
      <c r="AM39" s="433"/>
      <c r="AN39" s="451"/>
      <c r="AO39" s="440"/>
      <c r="AP39" s="436"/>
      <c r="AQ39" s="436"/>
      <c r="AR39" s="436"/>
    </row>
    <row r="40" spans="1:44" ht="27" x14ac:dyDescent="0.25">
      <c r="A40" s="449"/>
      <c r="B40" s="440"/>
      <c r="C40" s="450"/>
      <c r="D40" s="268" t="s">
        <v>724</v>
      </c>
      <c r="E40" s="268"/>
      <c r="F40" s="268"/>
      <c r="G40" s="287" t="s">
        <v>792</v>
      </c>
      <c r="H40" s="433"/>
      <c r="I40" s="442"/>
      <c r="J40" s="443"/>
      <c r="K40" s="441"/>
      <c r="L40" s="440"/>
      <c r="M40" s="438"/>
      <c r="N40" s="445"/>
      <c r="O40" s="286"/>
      <c r="P40" s="261"/>
      <c r="Q40" s="268"/>
      <c r="R40" s="268"/>
      <c r="S40" s="269"/>
      <c r="T40" s="270">
        <f>IF(S40="Asignado",[11]Listas!$C$30,[11]Listas!$C$31)</f>
        <v>0</v>
      </c>
      <c r="U40" s="269"/>
      <c r="V40" s="270">
        <f>IF(U40="Adecuado",[11]Listas!$C$32,[11]Listas!$C$33)</f>
        <v>0</v>
      </c>
      <c r="W40" s="269"/>
      <c r="X40" s="270">
        <f>IF(W40="Oportuna",[11]Listas!$C$34,[11]Listas!$C$35)</f>
        <v>0</v>
      </c>
      <c r="Y40" s="269"/>
      <c r="Z40" s="270">
        <f>IF(Y40="Prevenir",[11]Listas!$C$36,IF(Y40="Detectar",[11]Listas!$C$37,[11]Listas!$C$38))</f>
        <v>0</v>
      </c>
      <c r="AA40" s="269"/>
      <c r="AB40" s="270">
        <f>IF(AA40="Confiable",[11]Listas!$C$39,[11]Listas!$C$40)</f>
        <v>0</v>
      </c>
      <c r="AC40" s="269"/>
      <c r="AD40" s="270">
        <f>IF(AC40="Se investigan y resuelven oportunamente",[11]Listas!$C$41,[11]Listas!$C$42)</f>
        <v>0</v>
      </c>
      <c r="AE40" s="269"/>
      <c r="AF40" s="270">
        <f>IF(AE40="Completa",[11]Listas!$C$43,IF(AE40="Incompleta",[11]Listas!$C$44,[11]Listas!$C$45))</f>
        <v>0</v>
      </c>
      <c r="AG40" s="440"/>
      <c r="AH40" s="440"/>
      <c r="AI40" s="441"/>
      <c r="AJ40" s="440"/>
      <c r="AK40" s="438"/>
      <c r="AL40" s="445"/>
      <c r="AM40" s="433"/>
      <c r="AN40" s="451"/>
      <c r="AO40" s="440"/>
      <c r="AP40" s="436"/>
      <c r="AQ40" s="436"/>
      <c r="AR40" s="436"/>
    </row>
    <row r="41" spans="1:44" ht="40.5" x14ac:dyDescent="0.25">
      <c r="A41" s="449"/>
      <c r="B41" s="440"/>
      <c r="C41" s="450"/>
      <c r="D41" s="268" t="s">
        <v>724</v>
      </c>
      <c r="E41" s="268"/>
      <c r="F41" s="268"/>
      <c r="G41" s="286" t="s">
        <v>793</v>
      </c>
      <c r="H41" s="433"/>
      <c r="I41" s="442"/>
      <c r="J41" s="443"/>
      <c r="K41" s="441"/>
      <c r="L41" s="440"/>
      <c r="M41" s="438"/>
      <c r="N41" s="445"/>
      <c r="O41" s="286"/>
      <c r="P41" s="261"/>
      <c r="Q41" s="268"/>
      <c r="R41" s="268"/>
      <c r="S41" s="269"/>
      <c r="T41" s="270">
        <f>IF(S41="Asignado",[11]Listas!$C$30,[11]Listas!$C$31)</f>
        <v>0</v>
      </c>
      <c r="U41" s="269"/>
      <c r="V41" s="270">
        <f>IF(U41="Adecuado",[11]Listas!$C$32,[11]Listas!$C$33)</f>
        <v>0</v>
      </c>
      <c r="W41" s="269"/>
      <c r="X41" s="270">
        <f>IF(W41="Oportuna",[11]Listas!$C$34,[11]Listas!$C$35)</f>
        <v>0</v>
      </c>
      <c r="Y41" s="269"/>
      <c r="Z41" s="270">
        <f>IF(Y41="Prevenir",[11]Listas!$C$36,IF(Y41="Detectar",[11]Listas!$C$37,[11]Listas!$C$38))</f>
        <v>0</v>
      </c>
      <c r="AA41" s="269"/>
      <c r="AB41" s="270">
        <f>IF(AA41="Confiable",[11]Listas!$C$39,[11]Listas!$C$40)</f>
        <v>0</v>
      </c>
      <c r="AC41" s="269"/>
      <c r="AD41" s="270">
        <f>IF(AC41="Se investigan y resuelven oportunamente",[11]Listas!$C$41,[11]Listas!$C$42)</f>
        <v>0</v>
      </c>
      <c r="AE41" s="269"/>
      <c r="AF41" s="270">
        <f>IF(AE41="Completa",[11]Listas!$C$43,IF(AE41="Incompleta",[11]Listas!$C$44,[11]Listas!$C$45))</f>
        <v>0</v>
      </c>
      <c r="AG41" s="440"/>
      <c r="AH41" s="440"/>
      <c r="AI41" s="441"/>
      <c r="AJ41" s="440"/>
      <c r="AK41" s="438"/>
      <c r="AL41" s="445"/>
      <c r="AM41" s="433"/>
      <c r="AN41" s="451"/>
      <c r="AO41" s="440"/>
      <c r="AP41" s="436"/>
      <c r="AQ41" s="436"/>
      <c r="AR41" s="436"/>
    </row>
    <row r="42" spans="1:44" x14ac:dyDescent="0.25">
      <c r="A42" s="449"/>
      <c r="B42" s="440"/>
      <c r="C42" s="450"/>
      <c r="D42" s="268"/>
      <c r="E42" s="268"/>
      <c r="F42" s="268"/>
      <c r="G42" s="286"/>
      <c r="H42" s="433"/>
      <c r="I42" s="442"/>
      <c r="J42" s="443"/>
      <c r="K42" s="441"/>
      <c r="L42" s="440"/>
      <c r="M42" s="438"/>
      <c r="N42" s="445"/>
      <c r="O42" s="269"/>
      <c r="P42" s="261"/>
      <c r="Q42" s="268"/>
      <c r="R42" s="268"/>
      <c r="S42" s="269"/>
      <c r="T42" s="270">
        <f>IF(S42="Asignado",[11]Listas!$C$30,[11]Listas!$C$31)</f>
        <v>0</v>
      </c>
      <c r="U42" s="269"/>
      <c r="V42" s="270">
        <f>IF(U42="Adecuado",[11]Listas!$C$32,[11]Listas!$C$33)</f>
        <v>0</v>
      </c>
      <c r="W42" s="269"/>
      <c r="X42" s="270">
        <f>IF(W42="Oportuna",[11]Listas!$C$34,[11]Listas!$C$35)</f>
        <v>0</v>
      </c>
      <c r="Y42" s="269"/>
      <c r="Z42" s="270">
        <f>IF(Y42="Prevenir",[11]Listas!$C$36,IF(Y42="Detectar",[11]Listas!$C$37,[11]Listas!$C$38))</f>
        <v>0</v>
      </c>
      <c r="AA42" s="269"/>
      <c r="AB42" s="270">
        <f>IF(AA42="Confiable",[11]Listas!$C$39,[11]Listas!$C$40)</f>
        <v>0</v>
      </c>
      <c r="AC42" s="269"/>
      <c r="AD42" s="270">
        <f>IF(AC42="Se investigan y resuelven oportunamente",[11]Listas!$C$41,[11]Listas!$C$42)</f>
        <v>0</v>
      </c>
      <c r="AE42" s="269"/>
      <c r="AF42" s="270">
        <f>IF(AE42="Completa",[11]Listas!$C$43,IF(AE42="Incompleta",[11]Listas!$C$44,[11]Listas!$C$45))</f>
        <v>0</v>
      </c>
      <c r="AG42" s="440"/>
      <c r="AH42" s="440"/>
      <c r="AI42" s="441"/>
      <c r="AJ42" s="440"/>
      <c r="AK42" s="438"/>
      <c r="AL42" s="445"/>
      <c r="AM42" s="433"/>
      <c r="AN42" s="451"/>
      <c r="AO42" s="440"/>
      <c r="AP42" s="436"/>
      <c r="AQ42" s="436"/>
      <c r="AR42" s="436"/>
    </row>
    <row r="43" spans="1:44" ht="233.25" customHeight="1" x14ac:dyDescent="0.25">
      <c r="A43" s="463" t="s">
        <v>1</v>
      </c>
      <c r="B43" s="440">
        <v>3</v>
      </c>
      <c r="C43" s="450"/>
      <c r="D43" s="258" t="s">
        <v>745</v>
      </c>
      <c r="E43" s="306"/>
      <c r="F43" s="306" t="s">
        <v>794</v>
      </c>
      <c r="G43" s="307" t="s">
        <v>795</v>
      </c>
      <c r="H43" s="443" t="s">
        <v>796</v>
      </c>
      <c r="I43" s="288" t="s">
        <v>797</v>
      </c>
      <c r="J43" s="443" t="s">
        <v>727</v>
      </c>
      <c r="K43" s="441">
        <v>3</v>
      </c>
      <c r="L43" s="440">
        <v>4</v>
      </c>
      <c r="M43" s="438">
        <f t="shared" ref="M43" si="20">K43*L43</f>
        <v>12</v>
      </c>
      <c r="N43" s="446" t="str">
        <f t="shared" ref="N43" si="21">IF(AND(K43=1,L43=1),"BAJO",IF(AND(K43=1,L43=2),"BAJO",IF(AND(K43=2,L43=1),"BAJO",IF(AND(K43=2,L43=2),"BAJO",IF(AND(K43=3,L43=1),"BAJO",IF(AND(K43=1,L43=3),"MODERADO",IF(AND(K43=2,L43=3),"MODERADO",IF(AND(K43=3,L43=2),"MODERADO",IF(AND(K43=4,L43=1),"MODERADO",IF(AND(K43=5,L43=1),"ALTO",IF(AND(K43=4,L43=2),"ALTO",IF(AND(K43=3,L43=3),"ALTO",IF(AND(K43=2,L43=4),"ALTO",IF(AND(K43=1,L43=4),"ALTO",IF(AND(K43=5,L43=2),"ALTO",IF(AND(K43=4,L43=3),"ALTO","EXTREMO"))))))))))))))))</f>
        <v>EXTREMO</v>
      </c>
      <c r="O43" s="269" t="s">
        <v>798</v>
      </c>
      <c r="P43" s="261" t="s">
        <v>729</v>
      </c>
      <c r="Q43" s="268" t="s">
        <v>730</v>
      </c>
      <c r="R43" s="268" t="s">
        <v>730</v>
      </c>
      <c r="S43" s="269" t="s">
        <v>732</v>
      </c>
      <c r="T43" s="270">
        <f>IF(S43="Asignado",[12]Listas!$C$30,[12]Listas!$C$31)</f>
        <v>15</v>
      </c>
      <c r="U43" s="269" t="s">
        <v>733</v>
      </c>
      <c r="V43" s="270">
        <f>IF(U43="Adecuado",[12]Listas!$C$32,[12]Listas!$C$33)</f>
        <v>15</v>
      </c>
      <c r="W43" s="269" t="s">
        <v>734</v>
      </c>
      <c r="X43" s="270">
        <f>IF(W43="Oportuna",[12]Listas!$C$34,[12]Listas!$C$35)</f>
        <v>15</v>
      </c>
      <c r="Y43" s="269" t="s">
        <v>735</v>
      </c>
      <c r="Z43" s="270">
        <f>IF(Y43="Prevenir",[12]Listas!$C$36,IF(Y43="Detectar",[12]Listas!$C$37,[12]Listas!$C$38))</f>
        <v>15</v>
      </c>
      <c r="AA43" s="269" t="s">
        <v>736</v>
      </c>
      <c r="AB43" s="270">
        <f>IF(AA43="Confiable",[12]Listas!$C$39,[12]Listas!$C$40)</f>
        <v>15</v>
      </c>
      <c r="AC43" s="269" t="s">
        <v>784</v>
      </c>
      <c r="AD43" s="270">
        <f>IF(AC43="Se investigan y resuelven oportunamente",[12]Listas!$C$41,[12]Listas!$C$42)</f>
        <v>0</v>
      </c>
      <c r="AE43" s="269" t="s">
        <v>738</v>
      </c>
      <c r="AF43" s="270">
        <f>IF(AE43="Completa",[12]Listas!$C$43,IF(AE43="Incompleta",[12]Listas!$C$44,[12]Listas!$C$45))</f>
        <v>10</v>
      </c>
      <c r="AG43" s="261">
        <f t="shared" ref="AG43:AG45" si="22">T43+V43+X43+Z43+AB43+AD43+AF43</f>
        <v>85</v>
      </c>
      <c r="AH43" s="448">
        <f>AVERAGE(AG43:AG46)</f>
        <v>91.666666666666671</v>
      </c>
      <c r="AI43" s="441">
        <v>1</v>
      </c>
      <c r="AJ43" s="440">
        <v>3</v>
      </c>
      <c r="AK43" s="438">
        <f>+AI43*AJ43</f>
        <v>3</v>
      </c>
      <c r="AL43" s="439" t="str">
        <f>IF(AND(AI43=1,AJ43=1),"BAJO",IF(AND(AI43=1,AJ43=2),"BAJO",IF(AND(AI43=2,AJ43=1),"BAJO",IF(AND(AI43=2,AJ43=2),"BAJO",IF(AND(AI43=3,AJ43=1),"BAJO",IF(AND(AI43=1,AJ43=3),"MODERADO",IF(AND(AI43=2,AJ43=3),"MODERADO",IF(AND(AI43=3,AJ43=2),"MODERADO",IF(AND(AI43=4,AJ43=1),"MODERADO",IF(AND(AI43=5,AJ43=1),"ALTO",IF(AND(AI43=4,AJ43=2),"ALTO",IF(AND(AI43=3,AJ43=3),"ALTO",IF(AND(AI43=2,AJ43=4),"ALTO",IF(AND(AI43=1,AJ43=4),"ALTO",IF(AND(AI43=5,AJ43=2),"ALTO",IF(AND(AI43=4,AJ43=3),"ALTO","EXTREMO"))))))))))))))))</f>
        <v>MODERADO</v>
      </c>
      <c r="AM43" s="433" t="s">
        <v>739</v>
      </c>
      <c r="AN43" s="257" t="s">
        <v>799</v>
      </c>
      <c r="AO43" s="257" t="s">
        <v>800</v>
      </c>
      <c r="AP43" s="257" t="s">
        <v>801</v>
      </c>
      <c r="AQ43" s="308" t="s">
        <v>92</v>
      </c>
      <c r="AR43" s="257" t="s">
        <v>802</v>
      </c>
    </row>
    <row r="44" spans="1:44" ht="148.5" x14ac:dyDescent="0.25">
      <c r="A44" s="464"/>
      <c r="B44" s="440"/>
      <c r="C44" s="450"/>
      <c r="D44" s="258" t="s">
        <v>724</v>
      </c>
      <c r="E44" s="306"/>
      <c r="F44" s="306" t="s">
        <v>803</v>
      </c>
      <c r="G44" s="307" t="s">
        <v>804</v>
      </c>
      <c r="H44" s="443"/>
      <c r="I44" s="288" t="s">
        <v>805</v>
      </c>
      <c r="J44" s="443"/>
      <c r="K44" s="441"/>
      <c r="L44" s="440"/>
      <c r="M44" s="438"/>
      <c r="N44" s="446"/>
      <c r="O44" s="269" t="s">
        <v>806</v>
      </c>
      <c r="P44" s="261" t="s">
        <v>807</v>
      </c>
      <c r="Q44" s="268" t="s">
        <v>730</v>
      </c>
      <c r="R44" s="268" t="s">
        <v>772</v>
      </c>
      <c r="S44" s="269" t="s">
        <v>732</v>
      </c>
      <c r="T44" s="270">
        <f>IF(S44="Asignado",[12]Listas!$C$30,[12]Listas!$C$31)</f>
        <v>15</v>
      </c>
      <c r="U44" s="269" t="s">
        <v>733</v>
      </c>
      <c r="V44" s="270">
        <f>IF(U44="Adecuado",[12]Listas!$C$32,[12]Listas!$C$33)</f>
        <v>15</v>
      </c>
      <c r="W44" s="269" t="s">
        <v>734</v>
      </c>
      <c r="X44" s="270">
        <f>IF(W44="Oportuna",[12]Listas!$C$34,[12]Listas!$C$35)</f>
        <v>15</v>
      </c>
      <c r="Y44" s="269" t="s">
        <v>808</v>
      </c>
      <c r="Z44" s="270">
        <f>IF(Y44="Prevenir",[12]Listas!$C$36,IF(Y44="Detectar",[12]Listas!$C$37,[12]Listas!$C$38))</f>
        <v>10</v>
      </c>
      <c r="AA44" s="269" t="s">
        <v>736</v>
      </c>
      <c r="AB44" s="270">
        <f>IF(AA44="Confiable",[12]Listas!$C$39,[12]Listas!$C$40)</f>
        <v>15</v>
      </c>
      <c r="AC44" s="269" t="s">
        <v>737</v>
      </c>
      <c r="AD44" s="270">
        <f>IF(AC44="Se investigan y resuelven oportunamente",[12]Listas!$C$41,[12]Listas!$C$42)</f>
        <v>15</v>
      </c>
      <c r="AE44" s="269" t="s">
        <v>738</v>
      </c>
      <c r="AF44" s="270">
        <f>IF(AE44="Completa",[12]Listas!$C$43,IF(AE44="Incompleta",[12]Listas!$C$44,[12]Listas!$C$45))</f>
        <v>10</v>
      </c>
      <c r="AG44" s="261">
        <f t="shared" si="22"/>
        <v>95</v>
      </c>
      <c r="AH44" s="448"/>
      <c r="AI44" s="441"/>
      <c r="AJ44" s="440"/>
      <c r="AK44" s="438"/>
      <c r="AL44" s="439"/>
      <c r="AM44" s="433"/>
      <c r="AN44" s="257" t="s">
        <v>809</v>
      </c>
      <c r="AO44" s="257" t="s">
        <v>810</v>
      </c>
      <c r="AP44" s="257" t="s">
        <v>801</v>
      </c>
      <c r="AQ44" s="308" t="s">
        <v>811</v>
      </c>
      <c r="AR44" s="257" t="s">
        <v>812</v>
      </c>
    </row>
    <row r="45" spans="1:44" ht="57" customHeight="1" x14ac:dyDescent="0.25">
      <c r="A45" s="464"/>
      <c r="B45" s="440"/>
      <c r="C45" s="450"/>
      <c r="D45" s="443"/>
      <c r="E45" s="441" t="s">
        <v>813</v>
      </c>
      <c r="F45" s="454" t="s">
        <v>814</v>
      </c>
      <c r="G45" s="454" t="s">
        <v>815</v>
      </c>
      <c r="H45" s="443"/>
      <c r="I45" s="288" t="s">
        <v>816</v>
      </c>
      <c r="J45" s="443"/>
      <c r="K45" s="441"/>
      <c r="L45" s="440"/>
      <c r="M45" s="438"/>
      <c r="N45" s="446"/>
      <c r="O45" s="466" t="s">
        <v>817</v>
      </c>
      <c r="P45" s="440" t="s">
        <v>807</v>
      </c>
      <c r="Q45" s="436" t="s">
        <v>730</v>
      </c>
      <c r="R45" s="436" t="s">
        <v>730</v>
      </c>
      <c r="S45" s="433" t="s">
        <v>732</v>
      </c>
      <c r="T45" s="433">
        <f>IF(S45="Asignado",[12]Listas!$C$30,[12]Listas!$C$31)</f>
        <v>15</v>
      </c>
      <c r="U45" s="433" t="s">
        <v>733</v>
      </c>
      <c r="V45" s="433">
        <f>IF(U45="Adecuado",[12]Listas!$C$32,[12]Listas!$C$33)</f>
        <v>15</v>
      </c>
      <c r="W45" s="433" t="s">
        <v>734</v>
      </c>
      <c r="X45" s="433">
        <f>IF(W45="Oportuna",[12]Listas!$C$34,[12]Listas!$C$35)</f>
        <v>15</v>
      </c>
      <c r="Y45" s="433" t="s">
        <v>808</v>
      </c>
      <c r="Z45" s="433">
        <f>IF(Y45="Prevenir",[12]Listas!$C$36,IF(Y45="Detectar",[12]Listas!$C$37,[12]Listas!$C$38))</f>
        <v>10</v>
      </c>
      <c r="AA45" s="433" t="s">
        <v>736</v>
      </c>
      <c r="AB45" s="433">
        <f>IF(AA45="Confiable",[12]Listas!$C$39,[12]Listas!$C$40)</f>
        <v>15</v>
      </c>
      <c r="AC45" s="433" t="s">
        <v>737</v>
      </c>
      <c r="AD45" s="433">
        <f>IF(AC45="Se investigan y resuelven oportunamente",[12]Listas!$C$41,[12]Listas!$C$42)</f>
        <v>15</v>
      </c>
      <c r="AE45" s="433" t="s">
        <v>738</v>
      </c>
      <c r="AF45" s="433">
        <f>IF(AE45="Completa",[12]Listas!$C$43,IF(AE45="Incompleta",[12]Listas!$C$44,[12]Listas!$C$45))</f>
        <v>10</v>
      </c>
      <c r="AG45" s="440">
        <f t="shared" si="22"/>
        <v>95</v>
      </c>
      <c r="AH45" s="448"/>
      <c r="AI45" s="441"/>
      <c r="AJ45" s="440"/>
      <c r="AK45" s="438"/>
      <c r="AL45" s="439"/>
      <c r="AM45" s="433"/>
      <c r="AN45" s="443" t="s">
        <v>818</v>
      </c>
      <c r="AO45" s="443" t="s">
        <v>819</v>
      </c>
      <c r="AP45" s="443" t="s">
        <v>801</v>
      </c>
      <c r="AQ45" s="447" t="s">
        <v>820</v>
      </c>
      <c r="AR45" s="443" t="s">
        <v>821</v>
      </c>
    </row>
    <row r="46" spans="1:44" ht="108" x14ac:dyDescent="0.25">
      <c r="A46" s="464"/>
      <c r="B46" s="440"/>
      <c r="C46" s="450"/>
      <c r="D46" s="443"/>
      <c r="E46" s="441"/>
      <c r="F46" s="454"/>
      <c r="G46" s="454"/>
      <c r="H46" s="443"/>
      <c r="I46" s="288" t="s">
        <v>822</v>
      </c>
      <c r="J46" s="443"/>
      <c r="K46" s="441"/>
      <c r="L46" s="440"/>
      <c r="M46" s="438"/>
      <c r="N46" s="446"/>
      <c r="O46" s="466"/>
      <c r="P46" s="440"/>
      <c r="Q46" s="436"/>
      <c r="R46" s="436"/>
      <c r="S46" s="433"/>
      <c r="T46" s="433"/>
      <c r="U46" s="433"/>
      <c r="V46" s="433"/>
      <c r="W46" s="433"/>
      <c r="X46" s="433"/>
      <c r="Y46" s="433"/>
      <c r="Z46" s="433"/>
      <c r="AA46" s="433"/>
      <c r="AB46" s="433"/>
      <c r="AC46" s="433"/>
      <c r="AD46" s="433"/>
      <c r="AE46" s="433"/>
      <c r="AF46" s="433"/>
      <c r="AG46" s="440"/>
      <c r="AH46" s="448"/>
      <c r="AI46" s="441"/>
      <c r="AJ46" s="440"/>
      <c r="AK46" s="438"/>
      <c r="AL46" s="439"/>
      <c r="AM46" s="433"/>
      <c r="AN46" s="443"/>
      <c r="AO46" s="443"/>
      <c r="AP46" s="443"/>
      <c r="AQ46" s="447"/>
      <c r="AR46" s="443"/>
    </row>
    <row r="47" spans="1:44" ht="33.75" customHeight="1" x14ac:dyDescent="0.25">
      <c r="A47" s="455" t="s">
        <v>392</v>
      </c>
      <c r="B47" s="434">
        <v>4</v>
      </c>
      <c r="C47" s="434"/>
      <c r="D47" s="434" t="s">
        <v>823</v>
      </c>
      <c r="E47" s="434" t="s">
        <v>824</v>
      </c>
      <c r="F47" s="434"/>
      <c r="G47" s="433" t="s">
        <v>396</v>
      </c>
      <c r="H47" s="433" t="s">
        <v>395</v>
      </c>
      <c r="I47" s="442" t="s">
        <v>832</v>
      </c>
      <c r="J47" s="434" t="s">
        <v>825</v>
      </c>
      <c r="K47" s="434">
        <v>3</v>
      </c>
      <c r="L47" s="434">
        <v>5</v>
      </c>
      <c r="M47" s="444">
        <f>+K47*L47</f>
        <v>15</v>
      </c>
      <c r="N47" s="445" t="str">
        <f t="shared" ref="N47" si="23">IF(AND(K47=1,L47=1),"BAJO",IF(AND(K47=1,L47=2),"BAJO",IF(AND(K47=2,L47=1),"BAJO",IF(AND(K47=2,L47=2),"BAJO",IF(AND(K47=3,L47=1),"BAJO",IF(AND(K47=1,L47=3),"MODERADO",IF(AND(K47=2,L47=3),"MODERADO",IF(AND(K47=3,L47=2),"MODERADO",IF(AND(K47=4,L47=1),"MODERADO",IF(AND(K47=5,L47=1),"ALTO",IF(AND(K47=4,L47=2),"ALTO",IF(AND(K47=3,L47=3),"ALTO",IF(AND(K47=2,L47=4),"ALTO",IF(AND(K47=1,L47=4),"ALTO",IF(AND(K47=5,L47=2),"ALTO",IF(AND(K47=4,L47=3),"ALTO","EXTREMO"))))))))))))))))</f>
        <v>EXTREMO</v>
      </c>
      <c r="O47" s="433" t="s">
        <v>826</v>
      </c>
      <c r="P47" s="440" t="s">
        <v>729</v>
      </c>
      <c r="Q47" s="436" t="s">
        <v>730</v>
      </c>
      <c r="R47" s="436" t="s">
        <v>772</v>
      </c>
      <c r="S47" s="434" t="s">
        <v>732</v>
      </c>
      <c r="T47" s="434">
        <v>15</v>
      </c>
      <c r="U47" s="433" t="s">
        <v>733</v>
      </c>
      <c r="V47" s="433">
        <v>15</v>
      </c>
      <c r="W47" s="433" t="s">
        <v>734</v>
      </c>
      <c r="X47" s="433">
        <v>15</v>
      </c>
      <c r="Y47" s="433" t="s">
        <v>735</v>
      </c>
      <c r="Z47" s="433">
        <v>10</v>
      </c>
      <c r="AA47" s="433" t="s">
        <v>736</v>
      </c>
      <c r="AB47" s="433">
        <v>15</v>
      </c>
      <c r="AC47" s="433" t="s">
        <v>737</v>
      </c>
      <c r="AD47" s="433">
        <v>15</v>
      </c>
      <c r="AE47" s="433" t="s">
        <v>738</v>
      </c>
      <c r="AF47" s="433">
        <v>10</v>
      </c>
      <c r="AG47" s="440">
        <f>T47+V47+X47+Z47+AB47+AD47+AF47</f>
        <v>95</v>
      </c>
      <c r="AH47" s="440">
        <f>AVERAGE(AG47:AG48)</f>
        <v>95</v>
      </c>
      <c r="AI47" s="441">
        <v>2</v>
      </c>
      <c r="AJ47" s="440">
        <v>4</v>
      </c>
      <c r="AK47" s="438">
        <f>AI47*AJ47</f>
        <v>8</v>
      </c>
      <c r="AL47" s="439" t="str">
        <f>IF(AND(AI47=1,AJ47=1),"BAJO",IF(AND(AI47=1,AJ47=2),"BAJO",IF(AND(AI47=2,AJ47=1),"BAJO",IF(AND(AI47=2,AJ47=2),"BAJO",IF(AND(AI47=3,AJ47=1),"BAJO",IF(AND(AI47=1,AJ47=3),"MODERADO",IF(AND(AI47=2,AJ47=3),"MODERADO",IF(AND(AI47=3,AJ47=2),"MODERADO",IF(AND(AI47=4,AJ47=1),"MODERADO",IF(AND(AI47=5,AJ47=1),"ALTO",IF(AND(AI47=4,AJ47=2),"ALTO",IF(AND(AI47=3,AJ47=3),"ALTO",IF(AND(AI47=2,AJ47=4),"ALTO",IF(AND(AI47=1,AJ47=4),"ALTO",IF(AND(AI47=5,AJ47=2),"ALTO",IF(AND(AI47=4,AJ47=3),"ALTO","EXTREMO"))))))))))))))))</f>
        <v>ALTO</v>
      </c>
      <c r="AM47" s="437" t="s">
        <v>827</v>
      </c>
      <c r="AN47" s="437" t="s">
        <v>828</v>
      </c>
      <c r="AO47" s="436" t="s">
        <v>829</v>
      </c>
      <c r="AP47" s="436" t="s">
        <v>437</v>
      </c>
      <c r="AQ47" s="435" t="s">
        <v>830</v>
      </c>
      <c r="AR47" s="436" t="s">
        <v>831</v>
      </c>
    </row>
    <row r="48" spans="1:44" ht="24" customHeight="1" x14ac:dyDescent="0.25">
      <c r="A48" s="455"/>
      <c r="B48" s="434"/>
      <c r="C48" s="434"/>
      <c r="D48" s="434"/>
      <c r="E48" s="434"/>
      <c r="F48" s="434"/>
      <c r="G48" s="433"/>
      <c r="H48" s="433"/>
      <c r="I48" s="442"/>
      <c r="J48" s="434"/>
      <c r="K48" s="434"/>
      <c r="L48" s="434"/>
      <c r="M48" s="444"/>
      <c r="N48" s="445"/>
      <c r="O48" s="433"/>
      <c r="P48" s="440"/>
      <c r="Q48" s="436"/>
      <c r="R48" s="436"/>
      <c r="S48" s="434"/>
      <c r="T48" s="434"/>
      <c r="U48" s="433"/>
      <c r="V48" s="433"/>
      <c r="W48" s="433"/>
      <c r="X48" s="433"/>
      <c r="Y48" s="433"/>
      <c r="Z48" s="433"/>
      <c r="AA48" s="433"/>
      <c r="AB48" s="433"/>
      <c r="AC48" s="433"/>
      <c r="AD48" s="433"/>
      <c r="AE48" s="433"/>
      <c r="AF48" s="433"/>
      <c r="AG48" s="440"/>
      <c r="AH48" s="440"/>
      <c r="AI48" s="441"/>
      <c r="AJ48" s="440"/>
      <c r="AK48" s="438"/>
      <c r="AL48" s="439"/>
      <c r="AM48" s="437"/>
      <c r="AN48" s="437"/>
      <c r="AO48" s="436"/>
      <c r="AP48" s="436"/>
      <c r="AQ48" s="435"/>
      <c r="AR48" s="436"/>
    </row>
    <row r="49" spans="1:44" x14ac:dyDescent="0.25">
      <c r="A49" s="461"/>
      <c r="B49" s="434"/>
      <c r="C49" s="434"/>
      <c r="D49" s="434"/>
      <c r="E49" s="434"/>
      <c r="F49" s="434"/>
      <c r="G49" s="433"/>
      <c r="H49" s="433"/>
      <c r="I49" s="442"/>
      <c r="J49" s="434"/>
      <c r="K49" s="434"/>
      <c r="L49" s="434"/>
      <c r="M49" s="444"/>
      <c r="N49" s="445"/>
      <c r="O49" s="433"/>
      <c r="P49" s="440"/>
      <c r="Q49" s="436"/>
      <c r="R49" s="436"/>
      <c r="S49" s="434"/>
      <c r="T49" s="434"/>
      <c r="U49" s="433"/>
      <c r="V49" s="433"/>
      <c r="W49" s="433"/>
      <c r="X49" s="433"/>
      <c r="Y49" s="433"/>
      <c r="Z49" s="433"/>
      <c r="AA49" s="433"/>
      <c r="AB49" s="433"/>
      <c r="AC49" s="433"/>
      <c r="AD49" s="433"/>
      <c r="AE49" s="433"/>
      <c r="AF49" s="433"/>
      <c r="AG49" s="440"/>
      <c r="AH49" s="440"/>
      <c r="AI49" s="441"/>
      <c r="AJ49" s="440"/>
      <c r="AK49" s="438"/>
      <c r="AL49" s="439"/>
      <c r="AM49" s="437"/>
      <c r="AN49" s="437"/>
      <c r="AO49" s="436"/>
      <c r="AP49" s="436"/>
      <c r="AQ49" s="435"/>
      <c r="AR49" s="436"/>
    </row>
  </sheetData>
  <mergeCells count="394">
    <mergeCell ref="AR34:AR35"/>
    <mergeCell ref="AR31:AR32"/>
    <mergeCell ref="A31:A33"/>
    <mergeCell ref="B31:B32"/>
    <mergeCell ref="AR36:AR37"/>
    <mergeCell ref="A26:A27"/>
    <mergeCell ref="A28:A29"/>
    <mergeCell ref="H31:H32"/>
    <mergeCell ref="I31:I32"/>
    <mergeCell ref="J31:J32"/>
    <mergeCell ref="K31:K32"/>
    <mergeCell ref="L31:L32"/>
    <mergeCell ref="M31:M32"/>
    <mergeCell ref="N31:N32"/>
    <mergeCell ref="AH31:AH32"/>
    <mergeCell ref="AI31:AI32"/>
    <mergeCell ref="AJ31:AJ32"/>
    <mergeCell ref="AK31:AK32"/>
    <mergeCell ref="AL31:AL32"/>
    <mergeCell ref="AM31:AM32"/>
    <mergeCell ref="AN31:AN32"/>
    <mergeCell ref="AO31:AO32"/>
    <mergeCell ref="AP31:AP32"/>
    <mergeCell ref="AQ31:AQ32"/>
    <mergeCell ref="B36:B37"/>
    <mergeCell ref="C36:C37"/>
    <mergeCell ref="H36:H37"/>
    <mergeCell ref="I36:I37"/>
    <mergeCell ref="J36:J37"/>
    <mergeCell ref="K36:K37"/>
    <mergeCell ref="L36:L37"/>
    <mergeCell ref="M36:M37"/>
    <mergeCell ref="N36:N37"/>
    <mergeCell ref="O36:O37"/>
    <mergeCell ref="P36:P37"/>
    <mergeCell ref="Q36:Q37"/>
    <mergeCell ref="R36:R37"/>
    <mergeCell ref="S36:S37"/>
    <mergeCell ref="T36:T37"/>
    <mergeCell ref="U36:U37"/>
    <mergeCell ref="V36:V37"/>
    <mergeCell ref="W36:W37"/>
    <mergeCell ref="X36:X37"/>
    <mergeCell ref="Y36:Y37"/>
    <mergeCell ref="Z36:Z37"/>
    <mergeCell ref="AA36:AA37"/>
    <mergeCell ref="AB36:AB37"/>
    <mergeCell ref="O7:AH7"/>
    <mergeCell ref="AI7:AL7"/>
    <mergeCell ref="AM7:AR7"/>
    <mergeCell ref="D1:L1"/>
    <mergeCell ref="M1:O1"/>
    <mergeCell ref="D2:L3"/>
    <mergeCell ref="M2:O2"/>
    <mergeCell ref="M3:O3"/>
    <mergeCell ref="K7:N7"/>
    <mergeCell ref="P8:P9"/>
    <mergeCell ref="Q8:Q9"/>
    <mergeCell ref="R8:R9"/>
    <mergeCell ref="S8:AF8"/>
    <mergeCell ref="AG8:AG9"/>
    <mergeCell ref="AH8:AH9"/>
    <mergeCell ref="AE9:AF9"/>
    <mergeCell ref="K8:K9"/>
    <mergeCell ref="L8:L9"/>
    <mergeCell ref="M8:N9"/>
    <mergeCell ref="A1:C3"/>
    <mergeCell ref="B8:B9"/>
    <mergeCell ref="C8:C9"/>
    <mergeCell ref="D8:E8"/>
    <mergeCell ref="F8:F9"/>
    <mergeCell ref="G8:G9"/>
    <mergeCell ref="H8:H9"/>
    <mergeCell ref="C7:E7"/>
    <mergeCell ref="F7:J7"/>
    <mergeCell ref="I8:I9"/>
    <mergeCell ref="J8:J9"/>
    <mergeCell ref="O8:O9"/>
    <mergeCell ref="AO8:AO9"/>
    <mergeCell ref="AP8:AP9"/>
    <mergeCell ref="AQ8:AQ9"/>
    <mergeCell ref="AR8:AR9"/>
    <mergeCell ref="S9:T9"/>
    <mergeCell ref="U9:V9"/>
    <mergeCell ref="W9:X9"/>
    <mergeCell ref="Y9:Z9"/>
    <mergeCell ref="AA9:AB9"/>
    <mergeCell ref="AC9:AD9"/>
    <mergeCell ref="AI8:AI9"/>
    <mergeCell ref="AJ8:AJ9"/>
    <mergeCell ref="AK8:AL9"/>
    <mergeCell ref="AM8:AM9"/>
    <mergeCell ref="AN8:AN9"/>
    <mergeCell ref="A34:A37"/>
    <mergeCell ref="A43:A46"/>
    <mergeCell ref="A47:A49"/>
    <mergeCell ref="A7:A9"/>
    <mergeCell ref="K12:K14"/>
    <mergeCell ref="L12:L14"/>
    <mergeCell ref="M12:M14"/>
    <mergeCell ref="N12:N14"/>
    <mergeCell ref="O12:O14"/>
    <mergeCell ref="B34:B35"/>
    <mergeCell ref="C34:C35"/>
    <mergeCell ref="H34:H35"/>
    <mergeCell ref="J34:J35"/>
    <mergeCell ref="K34:K35"/>
    <mergeCell ref="L34:L35"/>
    <mergeCell ref="M34:M35"/>
    <mergeCell ref="B38:B42"/>
    <mergeCell ref="C38:C42"/>
    <mergeCell ref="H38:H42"/>
    <mergeCell ref="E45:E46"/>
    <mergeCell ref="F45:F46"/>
    <mergeCell ref="G45:G46"/>
    <mergeCell ref="O45:O46"/>
    <mergeCell ref="B47:B49"/>
    <mergeCell ref="P12:P14"/>
    <mergeCell ref="A20:A21"/>
    <mergeCell ref="A22:A25"/>
    <mergeCell ref="B12:B14"/>
    <mergeCell ref="H12:H14"/>
    <mergeCell ref="I12:I14"/>
    <mergeCell ref="J12:J14"/>
    <mergeCell ref="M16:M19"/>
    <mergeCell ref="N16:N19"/>
    <mergeCell ref="O16:O19"/>
    <mergeCell ref="P16:P19"/>
    <mergeCell ref="O20:O21"/>
    <mergeCell ref="P20:P21"/>
    <mergeCell ref="N22:N25"/>
    <mergeCell ref="O22:O25"/>
    <mergeCell ref="P22:P25"/>
    <mergeCell ref="B22:B25"/>
    <mergeCell ref="H22:H25"/>
    <mergeCell ref="AR12:AR14"/>
    <mergeCell ref="B16:B19"/>
    <mergeCell ref="H16:H19"/>
    <mergeCell ref="I16:I19"/>
    <mergeCell ref="J16:J19"/>
    <mergeCell ref="K16:K19"/>
    <mergeCell ref="L16:L19"/>
    <mergeCell ref="AI12:AI14"/>
    <mergeCell ref="AJ12:AJ14"/>
    <mergeCell ref="AK12:AK14"/>
    <mergeCell ref="AL12:AL14"/>
    <mergeCell ref="AM12:AM14"/>
    <mergeCell ref="AN12:AN14"/>
    <mergeCell ref="AC12:AC14"/>
    <mergeCell ref="AD12:AD14"/>
    <mergeCell ref="AE12:AE14"/>
    <mergeCell ref="AF12:AF14"/>
    <mergeCell ref="AG12:AG14"/>
    <mergeCell ref="AH12:AH14"/>
    <mergeCell ref="W12:W14"/>
    <mergeCell ref="X12:X14"/>
    <mergeCell ref="Y12:Y14"/>
    <mergeCell ref="Z12:Z14"/>
    <mergeCell ref="AA12:AA14"/>
    <mergeCell ref="Q16:Q19"/>
    <mergeCell ref="R16:R19"/>
    <mergeCell ref="AO12:AO14"/>
    <mergeCell ref="AP12:AP14"/>
    <mergeCell ref="AQ12:AQ14"/>
    <mergeCell ref="AB12:AB14"/>
    <mergeCell ref="Q12:Q14"/>
    <mergeCell ref="R12:R14"/>
    <mergeCell ref="S12:S14"/>
    <mergeCell ref="T12:T14"/>
    <mergeCell ref="U12:U14"/>
    <mergeCell ref="V12:V14"/>
    <mergeCell ref="AA16:AA19"/>
    <mergeCell ref="AB16:AB19"/>
    <mergeCell ref="AC16:AC19"/>
    <mergeCell ref="AD16:AD19"/>
    <mergeCell ref="S16:S19"/>
    <mergeCell ref="T16:T19"/>
    <mergeCell ref="U16:U19"/>
    <mergeCell ref="V16:V19"/>
    <mergeCell ref="W16:W19"/>
    <mergeCell ref="X16:X19"/>
    <mergeCell ref="AQ16:AQ19"/>
    <mergeCell ref="AR16:AR19"/>
    <mergeCell ref="A12:A19"/>
    <mergeCell ref="AF20:AF21"/>
    <mergeCell ref="AK20:AK21"/>
    <mergeCell ref="AL20:AL21"/>
    <mergeCell ref="AM20:AM21"/>
    <mergeCell ref="AN20:AN21"/>
    <mergeCell ref="AO20:AO21"/>
    <mergeCell ref="AP20:AP21"/>
    <mergeCell ref="AK16:AK19"/>
    <mergeCell ref="AL16:AL19"/>
    <mergeCell ref="AM16:AM19"/>
    <mergeCell ref="AN16:AN19"/>
    <mergeCell ref="AO16:AO19"/>
    <mergeCell ref="AP16:AP19"/>
    <mergeCell ref="AE16:AE19"/>
    <mergeCell ref="AF16:AF19"/>
    <mergeCell ref="AG16:AG19"/>
    <mergeCell ref="AH16:AH19"/>
    <mergeCell ref="AI16:AI19"/>
    <mergeCell ref="AJ16:AJ19"/>
    <mergeCell ref="Y16:Y19"/>
    <mergeCell ref="Z16:Z19"/>
    <mergeCell ref="N20:N21"/>
    <mergeCell ref="Q20:Q21"/>
    <mergeCell ref="R20:R21"/>
    <mergeCell ref="S20:S21"/>
    <mergeCell ref="B20:B21"/>
    <mergeCell ref="G20:G21"/>
    <mergeCell ref="H20:H21"/>
    <mergeCell ref="I20:I21"/>
    <mergeCell ref="J20:J21"/>
    <mergeCell ref="K20:K21"/>
    <mergeCell ref="L20:L21"/>
    <mergeCell ref="M20:M21"/>
    <mergeCell ref="Z20:Z21"/>
    <mergeCell ref="AA20:AA21"/>
    <mergeCell ref="AB20:AB21"/>
    <mergeCell ref="AC20:AC21"/>
    <mergeCell ref="AD20:AD21"/>
    <mergeCell ref="AE20:AE21"/>
    <mergeCell ref="T20:T21"/>
    <mergeCell ref="U20:U21"/>
    <mergeCell ref="V20:V21"/>
    <mergeCell ref="W20:W21"/>
    <mergeCell ref="X20:X21"/>
    <mergeCell ref="Y20:Y21"/>
    <mergeCell ref="AD22:AD25"/>
    <mergeCell ref="AE22:AE25"/>
    <mergeCell ref="AF22:AF25"/>
    <mergeCell ref="AG22:AG25"/>
    <mergeCell ref="AG20:AG21"/>
    <mergeCell ref="AH20:AH21"/>
    <mergeCell ref="AI20:AI21"/>
    <mergeCell ref="AJ20:AJ21"/>
    <mergeCell ref="AR22:AR25"/>
    <mergeCell ref="AO22:AO25"/>
    <mergeCell ref="AP22:AP25"/>
    <mergeCell ref="AH22:AH25"/>
    <mergeCell ref="AI22:AI25"/>
    <mergeCell ref="AJ22:AJ25"/>
    <mergeCell ref="AQ20:AQ21"/>
    <mergeCell ref="AR20:AR21"/>
    <mergeCell ref="AK22:AK25"/>
    <mergeCell ref="AL22:AL25"/>
    <mergeCell ref="AM22:AM25"/>
    <mergeCell ref="AN22:AN25"/>
    <mergeCell ref="AQ22:AQ25"/>
    <mergeCell ref="Q22:Q25"/>
    <mergeCell ref="R22:R25"/>
    <mergeCell ref="X22:X25"/>
    <mergeCell ref="Y22:Y25"/>
    <mergeCell ref="Z22:Z25"/>
    <mergeCell ref="AA22:AA25"/>
    <mergeCell ref="AB22:AB25"/>
    <mergeCell ref="AC22:AC25"/>
    <mergeCell ref="I38:I42"/>
    <mergeCell ref="J38:J42"/>
    <mergeCell ref="K38:K42"/>
    <mergeCell ref="J22:J25"/>
    <mergeCell ref="K22:K25"/>
    <mergeCell ref="L22:L25"/>
    <mergeCell ref="M22:M25"/>
    <mergeCell ref="I22:I25"/>
    <mergeCell ref="S22:S25"/>
    <mergeCell ref="T22:T25"/>
    <mergeCell ref="U22:U25"/>
    <mergeCell ref="V22:V25"/>
    <mergeCell ref="W22:W25"/>
    <mergeCell ref="N34:N35"/>
    <mergeCell ref="AC36:AC37"/>
    <mergeCell ref="I34:I35"/>
    <mergeCell ref="AH38:AH42"/>
    <mergeCell ref="AQ38:AQ42"/>
    <mergeCell ref="AH34:AH35"/>
    <mergeCell ref="AI34:AI35"/>
    <mergeCell ref="AJ34:AJ35"/>
    <mergeCell ref="AK34:AK35"/>
    <mergeCell ref="AL34:AL35"/>
    <mergeCell ref="AM34:AM35"/>
    <mergeCell ref="AN34:AN35"/>
    <mergeCell ref="AO34:AO35"/>
    <mergeCell ref="AP34:AP35"/>
    <mergeCell ref="AQ34:AQ35"/>
    <mergeCell ref="AI38:AI42"/>
    <mergeCell ref="AJ36:AJ37"/>
    <mergeCell ref="AK36:AK37"/>
    <mergeCell ref="AL36:AL37"/>
    <mergeCell ref="AM36:AM37"/>
    <mergeCell ref="AN36:AN37"/>
    <mergeCell ref="AO36:AO37"/>
    <mergeCell ref="AP36:AP37"/>
    <mergeCell ref="AQ36:AQ37"/>
    <mergeCell ref="AI36:AI37"/>
    <mergeCell ref="AP38:AP42"/>
    <mergeCell ref="AD36:AD37"/>
    <mergeCell ref="AE36:AE37"/>
    <mergeCell ref="AF36:AF37"/>
    <mergeCell ref="AG36:AG37"/>
    <mergeCell ref="AH36:AH37"/>
    <mergeCell ref="AR38:AR42"/>
    <mergeCell ref="A38:A42"/>
    <mergeCell ref="B43:B46"/>
    <mergeCell ref="C43:C46"/>
    <mergeCell ref="H43:H46"/>
    <mergeCell ref="J43:J46"/>
    <mergeCell ref="K43:K46"/>
    <mergeCell ref="L43:L46"/>
    <mergeCell ref="AJ38:AJ42"/>
    <mergeCell ref="AK38:AK42"/>
    <mergeCell ref="AL38:AL42"/>
    <mergeCell ref="AM38:AM42"/>
    <mergeCell ref="AN38:AN42"/>
    <mergeCell ref="AO38:AO42"/>
    <mergeCell ref="L38:L42"/>
    <mergeCell ref="M38:M42"/>
    <mergeCell ref="N38:N42"/>
    <mergeCell ref="AG38:AG42"/>
    <mergeCell ref="P45:P46"/>
    <mergeCell ref="Q45:Q46"/>
    <mergeCell ref="R45:R46"/>
    <mergeCell ref="M43:M46"/>
    <mergeCell ref="N43:N46"/>
    <mergeCell ref="AO45:AO46"/>
    <mergeCell ref="AP45:AP46"/>
    <mergeCell ref="AQ45:AQ46"/>
    <mergeCell ref="AR45:AR46"/>
    <mergeCell ref="AN45:AN46"/>
    <mergeCell ref="AL43:AL46"/>
    <mergeCell ref="AM43:AM46"/>
    <mergeCell ref="AH43:AH46"/>
    <mergeCell ref="AI43:AI46"/>
    <mergeCell ref="AJ43:AJ46"/>
    <mergeCell ref="AK43:AK46"/>
    <mergeCell ref="S45:S46"/>
    <mergeCell ref="T45:T46"/>
    <mergeCell ref="U45:U46"/>
    <mergeCell ref="V45:V46"/>
    <mergeCell ref="C47:C49"/>
    <mergeCell ref="D47:D49"/>
    <mergeCell ref="E47:E49"/>
    <mergeCell ref="F47:F49"/>
    <mergeCell ref="AC45:AC46"/>
    <mergeCell ref="AD45:AD46"/>
    <mergeCell ref="AE45:AE46"/>
    <mergeCell ref="AF45:AF46"/>
    <mergeCell ref="AG45:AG46"/>
    <mergeCell ref="W45:W46"/>
    <mergeCell ref="X45:X46"/>
    <mergeCell ref="Y45:Y46"/>
    <mergeCell ref="Z45:Z46"/>
    <mergeCell ref="AA45:AA46"/>
    <mergeCell ref="AB45:AB46"/>
    <mergeCell ref="D45:D46"/>
    <mergeCell ref="M47:M49"/>
    <mergeCell ref="N47:N49"/>
    <mergeCell ref="O47:O49"/>
    <mergeCell ref="P47:P49"/>
    <mergeCell ref="Q47:Q49"/>
    <mergeCell ref="R47:R49"/>
    <mergeCell ref="G47:G49"/>
    <mergeCell ref="H47:H49"/>
    <mergeCell ref="I47:I49"/>
    <mergeCell ref="J47:J49"/>
    <mergeCell ref="K47:K49"/>
    <mergeCell ref="L47:L49"/>
    <mergeCell ref="Y47:Y49"/>
    <mergeCell ref="Z47:Z49"/>
    <mergeCell ref="AA47:AA49"/>
    <mergeCell ref="AB47:AB49"/>
    <mergeCell ref="AC47:AC49"/>
    <mergeCell ref="AD47:AD49"/>
    <mergeCell ref="S47:S49"/>
    <mergeCell ref="T47:T49"/>
    <mergeCell ref="U47:U49"/>
    <mergeCell ref="V47:V49"/>
    <mergeCell ref="W47:W49"/>
    <mergeCell ref="X47:X49"/>
    <mergeCell ref="AQ47:AQ49"/>
    <mergeCell ref="AR47:AR49"/>
    <mergeCell ref="AP47:AP49"/>
    <mergeCell ref="AO47:AO49"/>
    <mergeCell ref="AN47:AN49"/>
    <mergeCell ref="AK47:AK49"/>
    <mergeCell ref="AL47:AL49"/>
    <mergeCell ref="AM47:AM49"/>
    <mergeCell ref="AE47:AE49"/>
    <mergeCell ref="AF47:AF49"/>
    <mergeCell ref="AG47:AG49"/>
    <mergeCell ref="AH47:AH49"/>
    <mergeCell ref="AI47:AI49"/>
    <mergeCell ref="AJ47:AJ49"/>
  </mergeCells>
  <conditionalFormatting sqref="N15:N16 AL12 N12:N13">
    <cfRule type="expression" dxfId="336" priority="182">
      <formula>N12="EXTREMO"</formula>
    </cfRule>
    <cfRule type="expression" dxfId="335" priority="183">
      <formula>N12="MODERADO"</formula>
    </cfRule>
    <cfRule type="expression" dxfId="334" priority="184">
      <formula>N12="ALTO"</formula>
    </cfRule>
    <cfRule type="expression" dxfId="333" priority="185">
      <formula>N12="BAJO"</formula>
    </cfRule>
  </conditionalFormatting>
  <conditionalFormatting sqref="N15:N16 AL12 N12:N13">
    <cfRule type="expression" dxfId="332" priority="181">
      <formula>N12=" "</formula>
    </cfRule>
  </conditionalFormatting>
  <conditionalFormatting sqref="AL15">
    <cfRule type="expression" dxfId="331" priority="177">
      <formula>AL15="EXTREMO"</formula>
    </cfRule>
    <cfRule type="expression" dxfId="330" priority="178">
      <formula>AL15="MODERADO"</formula>
    </cfRule>
    <cfRule type="expression" dxfId="329" priority="179">
      <formula>AL15="ALTO"</formula>
    </cfRule>
    <cfRule type="expression" dxfId="328" priority="180">
      <formula>AL15="BAJO"</formula>
    </cfRule>
  </conditionalFormatting>
  <conditionalFormatting sqref="AL15">
    <cfRule type="expression" dxfId="327" priority="176">
      <formula>AL15=" "</formula>
    </cfRule>
  </conditionalFormatting>
  <conditionalFormatting sqref="AL16">
    <cfRule type="expression" dxfId="326" priority="172">
      <formula>AL16="EXTREMO"</formula>
    </cfRule>
    <cfRule type="expression" dxfId="325" priority="173">
      <formula>AL16="MODERADO"</formula>
    </cfRule>
    <cfRule type="expression" dxfId="324" priority="174">
      <formula>AL16="ALTO"</formula>
    </cfRule>
    <cfRule type="expression" dxfId="323" priority="175">
      <formula>AL16="BAJO"</formula>
    </cfRule>
  </conditionalFormatting>
  <conditionalFormatting sqref="AL16">
    <cfRule type="expression" dxfId="322" priority="171">
      <formula>AL16=" "</formula>
    </cfRule>
  </conditionalFormatting>
  <conditionalFormatting sqref="AL22">
    <cfRule type="expression" dxfId="321" priority="156">
      <formula>AL22=" "</formula>
    </cfRule>
  </conditionalFormatting>
  <conditionalFormatting sqref="AL20 N20">
    <cfRule type="expression" dxfId="320" priority="167">
      <formula>N20="EXTREMO"</formula>
    </cfRule>
    <cfRule type="expression" dxfId="319" priority="168">
      <formula>N20="MODERADO"</formula>
    </cfRule>
    <cfRule type="expression" dxfId="318" priority="169">
      <formula>N20="ALTO"</formula>
    </cfRule>
    <cfRule type="expression" dxfId="317" priority="170">
      <formula>N20="BAJO"</formula>
    </cfRule>
  </conditionalFormatting>
  <conditionalFormatting sqref="AL20 N20">
    <cfRule type="expression" dxfId="316" priority="166">
      <formula>N20=" "</formula>
    </cfRule>
  </conditionalFormatting>
  <conditionalFormatting sqref="N22">
    <cfRule type="expression" dxfId="315" priority="162">
      <formula>N22="EXTREMO"</formula>
    </cfRule>
    <cfRule type="expression" dxfId="314" priority="163">
      <formula>N22="MODERADO"</formula>
    </cfRule>
    <cfRule type="expression" dxfId="313" priority="164">
      <formula>N22="ALTO"</formula>
    </cfRule>
    <cfRule type="expression" dxfId="312" priority="165">
      <formula>N22="BAJO"</formula>
    </cfRule>
  </conditionalFormatting>
  <conditionalFormatting sqref="N22">
    <cfRule type="expression" dxfId="311" priority="161">
      <formula>N22=" "</formula>
    </cfRule>
  </conditionalFormatting>
  <conditionalFormatting sqref="AL22">
    <cfRule type="expression" dxfId="310" priority="157">
      <formula>AL22="EXTREMO"</formula>
    </cfRule>
    <cfRule type="expression" dxfId="309" priority="158">
      <formula>AL22="MODERADO"</formula>
    </cfRule>
    <cfRule type="expression" dxfId="308" priority="159">
      <formula>AL22="ALTO"</formula>
    </cfRule>
    <cfRule type="expression" dxfId="307" priority="160">
      <formula>AL22="BAJO"</formula>
    </cfRule>
  </conditionalFormatting>
  <conditionalFormatting sqref="N38">
    <cfRule type="expression" dxfId="306" priority="152">
      <formula>N38="EXTREMO"</formula>
    </cfRule>
    <cfRule type="expression" dxfId="305" priority="153">
      <formula>N38="MODERADO"</formula>
    </cfRule>
    <cfRule type="expression" dxfId="304" priority="154">
      <formula>N38="ALTO"</formula>
    </cfRule>
    <cfRule type="expression" dxfId="303" priority="155">
      <formula>N38="BAJO"</formula>
    </cfRule>
  </conditionalFormatting>
  <conditionalFormatting sqref="N38">
    <cfRule type="expression" dxfId="302" priority="151">
      <formula>N38=" "</formula>
    </cfRule>
  </conditionalFormatting>
  <conditionalFormatting sqref="AL38">
    <cfRule type="expression" dxfId="301" priority="147">
      <formula>AL38="EXTREMO"</formula>
    </cfRule>
    <cfRule type="expression" dxfId="300" priority="148">
      <formula>AL38="MODERADO"</formula>
    </cfRule>
    <cfRule type="expression" dxfId="299" priority="149">
      <formula>AL38="ALTO"</formula>
    </cfRule>
    <cfRule type="expression" dxfId="298" priority="150">
      <formula>AL38="BAJO"</formula>
    </cfRule>
  </conditionalFormatting>
  <conditionalFormatting sqref="AL38">
    <cfRule type="expression" dxfId="297" priority="146">
      <formula>AL38=" "</formula>
    </cfRule>
  </conditionalFormatting>
  <conditionalFormatting sqref="N43">
    <cfRule type="expression" dxfId="296" priority="142">
      <formula>N43="EXTREMO"</formula>
    </cfRule>
    <cfRule type="expression" dxfId="295" priority="143">
      <formula>N43="MODERADO"</formula>
    </cfRule>
    <cfRule type="expression" dxfId="294" priority="144">
      <formula>N43="ALTO"</formula>
    </cfRule>
    <cfRule type="expression" dxfId="293" priority="145">
      <formula>N43="BAJO"</formula>
    </cfRule>
  </conditionalFormatting>
  <conditionalFormatting sqref="N43">
    <cfRule type="expression" dxfId="292" priority="141">
      <formula>N43=" "</formula>
    </cfRule>
  </conditionalFormatting>
  <conditionalFormatting sqref="AL43">
    <cfRule type="expression" dxfId="291" priority="137">
      <formula>AL43="EXTREMO"</formula>
    </cfRule>
    <cfRule type="expression" dxfId="290" priority="138">
      <formula>AL43="MODERADO"</formula>
    </cfRule>
    <cfRule type="expression" dxfId="289" priority="139">
      <formula>AL43="ALTO"</formula>
    </cfRule>
    <cfRule type="expression" dxfId="288" priority="140">
      <formula>AL43="BAJO"</formula>
    </cfRule>
  </conditionalFormatting>
  <conditionalFormatting sqref="AL43">
    <cfRule type="expression" dxfId="287" priority="136">
      <formula>AL43=" "</formula>
    </cfRule>
  </conditionalFormatting>
  <conditionalFormatting sqref="N47">
    <cfRule type="expression" dxfId="286" priority="132">
      <formula>N47="EXTREMO"</formula>
    </cfRule>
    <cfRule type="expression" dxfId="285" priority="133">
      <formula>N47="MODERADO"</formula>
    </cfRule>
    <cfRule type="expression" dxfId="284" priority="134">
      <formula>N47="ALTO"</formula>
    </cfRule>
    <cfRule type="expression" dxfId="283" priority="135">
      <formula>N47="BAJO"</formula>
    </cfRule>
  </conditionalFormatting>
  <conditionalFormatting sqref="N47">
    <cfRule type="expression" dxfId="282" priority="131">
      <formula>N47=" "</formula>
    </cfRule>
  </conditionalFormatting>
  <conditionalFormatting sqref="AL47">
    <cfRule type="expression" dxfId="281" priority="127">
      <formula>AL47="EXTREMO"</formula>
    </cfRule>
    <cfRule type="expression" dxfId="280" priority="128">
      <formula>AL47="MODERADO"</formula>
    </cfRule>
    <cfRule type="expression" dxfId="279" priority="129">
      <formula>AL47="ALTO"</formula>
    </cfRule>
    <cfRule type="expression" dxfId="278" priority="130">
      <formula>AL47="BAJO"</formula>
    </cfRule>
  </conditionalFormatting>
  <conditionalFormatting sqref="AL47">
    <cfRule type="expression" dxfId="277" priority="126">
      <formula>AL47=" "</formula>
    </cfRule>
  </conditionalFormatting>
  <conditionalFormatting sqref="N34 N36">
    <cfRule type="expression" dxfId="276" priority="122">
      <formula>N34="EXTREMO"</formula>
    </cfRule>
    <cfRule type="expression" dxfId="275" priority="123">
      <formula>N34="MODERADO"</formula>
    </cfRule>
    <cfRule type="expression" dxfId="274" priority="124">
      <formula>N34="ALTO"</formula>
    </cfRule>
    <cfRule type="expression" dxfId="273" priority="125">
      <formula>N34="BAJO"</formula>
    </cfRule>
  </conditionalFormatting>
  <conditionalFormatting sqref="N34 N36">
    <cfRule type="expression" dxfId="272" priority="121">
      <formula>N34=" "</formula>
    </cfRule>
  </conditionalFormatting>
  <conditionalFormatting sqref="AL34 AL36">
    <cfRule type="expression" dxfId="271" priority="117">
      <formula>AL34="EXTREMO"</formula>
    </cfRule>
    <cfRule type="expression" dxfId="270" priority="118">
      <formula>AL34="MODERADO"</formula>
    </cfRule>
    <cfRule type="expression" dxfId="269" priority="119">
      <formula>AL34="ALTO"</formula>
    </cfRule>
    <cfRule type="expression" dxfId="268" priority="120">
      <formula>AL34="BAJO"</formula>
    </cfRule>
  </conditionalFormatting>
  <conditionalFormatting sqref="AL34 AL36">
    <cfRule type="expression" dxfId="267" priority="116">
      <formula>AL34=" "</formula>
    </cfRule>
  </conditionalFormatting>
  <conditionalFormatting sqref="AL10">
    <cfRule type="expression" dxfId="266" priority="112">
      <formula>AL10="EXTREMO"</formula>
    </cfRule>
    <cfRule type="expression" dxfId="265" priority="113">
      <formula>AL10="MODERADO"</formula>
    </cfRule>
    <cfRule type="expression" dxfId="264" priority="114">
      <formula>AL10="ALTO"</formula>
    </cfRule>
    <cfRule type="expression" dxfId="263" priority="115">
      <formula>AL10="BAJO"</formula>
    </cfRule>
  </conditionalFormatting>
  <conditionalFormatting sqref="AL10">
    <cfRule type="expression" dxfId="262" priority="111">
      <formula>AL10=" "</formula>
    </cfRule>
  </conditionalFormatting>
  <conditionalFormatting sqref="N10">
    <cfRule type="expression" dxfId="261" priority="104">
      <formula>N10="EXTREMO"</formula>
    </cfRule>
    <cfRule type="expression" dxfId="260" priority="105">
      <formula>N10="MODERADO"</formula>
    </cfRule>
    <cfRule type="expression" dxfId="259" priority="106">
      <formula>N10="ALTO"</formula>
    </cfRule>
    <cfRule type="expression" dxfId="258" priority="107">
      <formula>N10="BAJO"</formula>
    </cfRule>
  </conditionalFormatting>
  <conditionalFormatting sqref="N10">
    <cfRule type="expression" dxfId="257" priority="103">
      <formula>N10=" "</formula>
    </cfRule>
  </conditionalFormatting>
  <conditionalFormatting sqref="N11">
    <cfRule type="expression" dxfId="256" priority="99">
      <formula>N11="EXTREMO"</formula>
    </cfRule>
    <cfRule type="expression" dxfId="255" priority="100">
      <formula>N11="MODERADO"</formula>
    </cfRule>
    <cfRule type="expression" dxfId="254" priority="101">
      <formula>N11="ALTO"</formula>
    </cfRule>
    <cfRule type="expression" dxfId="253" priority="102">
      <formula>N11="BAJO"</formula>
    </cfRule>
  </conditionalFormatting>
  <conditionalFormatting sqref="N11">
    <cfRule type="expression" dxfId="252" priority="98">
      <formula>N11=" "</formula>
    </cfRule>
  </conditionalFormatting>
  <conditionalFormatting sqref="AL11">
    <cfRule type="expression" dxfId="251" priority="94">
      <formula>AL11="EXTREMO"</formula>
    </cfRule>
    <cfRule type="expression" dxfId="250" priority="95">
      <formula>AL11="MODERADO"</formula>
    </cfRule>
    <cfRule type="expression" dxfId="249" priority="96">
      <formula>AL11="ALTO"</formula>
    </cfRule>
    <cfRule type="expression" dxfId="248" priority="97">
      <formula>AL11="BAJO"</formula>
    </cfRule>
  </conditionalFormatting>
  <conditionalFormatting sqref="AL11">
    <cfRule type="expression" dxfId="247" priority="93">
      <formula>AL11=" "</formula>
    </cfRule>
  </conditionalFormatting>
  <conditionalFormatting sqref="N26">
    <cfRule type="expression" dxfId="246" priority="86">
      <formula>N26="EXTREMO"</formula>
    </cfRule>
    <cfRule type="expression" dxfId="245" priority="87">
      <formula>N26="MODERADO"</formula>
    </cfRule>
    <cfRule type="expression" dxfId="244" priority="88">
      <formula>N26="ALTO"</formula>
    </cfRule>
    <cfRule type="expression" dxfId="243" priority="89">
      <formula>N26="BAJO"</formula>
    </cfRule>
  </conditionalFormatting>
  <conditionalFormatting sqref="N26">
    <cfRule type="expression" dxfId="242" priority="85">
      <formula>N26=" "</formula>
    </cfRule>
  </conditionalFormatting>
  <conditionalFormatting sqref="N28:N29">
    <cfRule type="expression" dxfId="241" priority="60">
      <formula>N28="EXTREMO"</formula>
    </cfRule>
    <cfRule type="expression" dxfId="240" priority="61">
      <formula>N28="MODERADO"</formula>
    </cfRule>
    <cfRule type="expression" dxfId="239" priority="62">
      <formula>N28="ALTO"</formula>
    </cfRule>
    <cfRule type="expression" dxfId="238" priority="63">
      <formula>N28="BAJO"</formula>
    </cfRule>
  </conditionalFormatting>
  <conditionalFormatting sqref="N28:N29">
    <cfRule type="expression" dxfId="237" priority="59">
      <formula>N28=" "</formula>
    </cfRule>
  </conditionalFormatting>
  <conditionalFormatting sqref="AI26">
    <cfRule type="cellIs" dxfId="236" priority="77" operator="equal">
      <formula>"DEBIL"</formula>
    </cfRule>
    <cfRule type="cellIs" dxfId="235" priority="78" operator="equal">
      <formula>"MODERADO"</formula>
    </cfRule>
    <cfRule type="cellIs" dxfId="234" priority="79" operator="equal">
      <formula>"FUERTE"</formula>
    </cfRule>
  </conditionalFormatting>
  <conditionalFormatting sqref="N27">
    <cfRule type="expression" dxfId="233" priority="73">
      <formula>N27="EXTREMO"</formula>
    </cfRule>
    <cfRule type="expression" dxfId="232" priority="74">
      <formula>N27="MODERADO"</formula>
    </cfRule>
    <cfRule type="expression" dxfId="231" priority="75">
      <formula>N27="ALTO"</formula>
    </cfRule>
    <cfRule type="expression" dxfId="230" priority="76">
      <formula>N27="BAJO"</formula>
    </cfRule>
  </conditionalFormatting>
  <conditionalFormatting sqref="N27">
    <cfRule type="expression" dxfId="229" priority="72">
      <formula>N27=" "</formula>
    </cfRule>
  </conditionalFormatting>
  <conditionalFormatting sqref="AL29">
    <cfRule type="expression" dxfId="228" priority="47">
      <formula>AL29="EXTREMO"</formula>
    </cfRule>
    <cfRule type="expression" dxfId="227" priority="48">
      <formula>AL29="MODERADO"</formula>
    </cfRule>
    <cfRule type="expression" dxfId="226" priority="49">
      <formula>AL29="ALTO"</formula>
    </cfRule>
    <cfRule type="expression" dxfId="225" priority="50">
      <formula>AL29="BAJO"</formula>
    </cfRule>
  </conditionalFormatting>
  <conditionalFormatting sqref="AL29">
    <cfRule type="expression" dxfId="224" priority="46">
      <formula>AL29=" "</formula>
    </cfRule>
  </conditionalFormatting>
  <conditionalFormatting sqref="AI27">
    <cfRule type="cellIs" dxfId="223" priority="64" operator="equal">
      <formula>"DEBIL"</formula>
    </cfRule>
    <cfRule type="cellIs" dxfId="222" priority="65" operator="equal">
      <formula>"MODERADO"</formula>
    </cfRule>
    <cfRule type="cellIs" dxfId="221" priority="66" operator="equal">
      <formula>"FUERTE"</formula>
    </cfRule>
  </conditionalFormatting>
  <conditionalFormatting sqref="AL28">
    <cfRule type="expression" dxfId="220" priority="55">
      <formula>AL28="EXTREMO"</formula>
    </cfRule>
    <cfRule type="expression" dxfId="219" priority="56">
      <formula>AL28="MODERADO"</formula>
    </cfRule>
    <cfRule type="expression" dxfId="218" priority="57">
      <formula>AL28="ALTO"</formula>
    </cfRule>
    <cfRule type="expression" dxfId="217" priority="58">
      <formula>AL28="BAJO"</formula>
    </cfRule>
  </conditionalFormatting>
  <conditionalFormatting sqref="AL28">
    <cfRule type="expression" dxfId="216" priority="54">
      <formula>AL28=" "</formula>
    </cfRule>
  </conditionalFormatting>
  <conditionalFormatting sqref="N30">
    <cfRule type="expression" dxfId="215" priority="39">
      <formula>N30="EXTREMO"</formula>
    </cfRule>
    <cfRule type="expression" dxfId="214" priority="40">
      <formula>N30="MODERADO"</formula>
    </cfRule>
    <cfRule type="expression" dxfId="213" priority="41">
      <formula>N30="ALTO"</formula>
    </cfRule>
    <cfRule type="expression" dxfId="212" priority="42">
      <formula>N30="BAJO"</formula>
    </cfRule>
  </conditionalFormatting>
  <conditionalFormatting sqref="N30">
    <cfRule type="expression" dxfId="211" priority="38">
      <formula>N30=" "</formula>
    </cfRule>
  </conditionalFormatting>
  <conditionalFormatting sqref="AL30">
    <cfRule type="expression" dxfId="210" priority="34">
      <formula>AL30="EXTREMO"</formula>
    </cfRule>
    <cfRule type="expression" dxfId="209" priority="35">
      <formula>AL30="MODERADO"</formula>
    </cfRule>
    <cfRule type="expression" dxfId="208" priority="36">
      <formula>AL30="ALTO"</formula>
    </cfRule>
    <cfRule type="expression" dxfId="207" priority="37">
      <formula>AL30="BAJO"</formula>
    </cfRule>
  </conditionalFormatting>
  <conditionalFormatting sqref="AL30">
    <cfRule type="expression" dxfId="206" priority="33">
      <formula>AL30=" "</formula>
    </cfRule>
  </conditionalFormatting>
  <conditionalFormatting sqref="N31">
    <cfRule type="expression" dxfId="205" priority="26">
      <formula>N31="EXTREMO"</formula>
    </cfRule>
    <cfRule type="expression" dxfId="204" priority="27">
      <formula>N31="MODERADO"</formula>
    </cfRule>
    <cfRule type="expression" dxfId="203" priority="28">
      <formula>N31="ALTO"</formula>
    </cfRule>
    <cfRule type="expression" dxfId="202" priority="29">
      <formula>N31="BAJO"</formula>
    </cfRule>
  </conditionalFormatting>
  <conditionalFormatting sqref="N31">
    <cfRule type="expression" dxfId="201" priority="25">
      <formula>N31=" "</formula>
    </cfRule>
  </conditionalFormatting>
  <conditionalFormatting sqref="AL31">
    <cfRule type="expression" dxfId="200" priority="21">
      <formula>AL31="EXTREMO"</formula>
    </cfRule>
    <cfRule type="expression" dxfId="199" priority="22">
      <formula>AL31="MODERADO"</formula>
    </cfRule>
    <cfRule type="expression" dxfId="198" priority="23">
      <formula>AL31="ALTO"</formula>
    </cfRule>
    <cfRule type="expression" dxfId="197" priority="24">
      <formula>AL31="BAJO"</formula>
    </cfRule>
  </conditionalFormatting>
  <conditionalFormatting sqref="AL31">
    <cfRule type="expression" dxfId="196" priority="20">
      <formula>AL31=" "</formula>
    </cfRule>
  </conditionalFormatting>
  <conditionalFormatting sqref="N33">
    <cfRule type="expression" dxfId="195" priority="10">
      <formula>N33="EXTREMO"</formula>
    </cfRule>
    <cfRule type="expression" dxfId="194" priority="11">
      <formula>N33="MODERADO"</formula>
    </cfRule>
    <cfRule type="expression" dxfId="193" priority="12">
      <formula>N33="ALTO"</formula>
    </cfRule>
    <cfRule type="expression" dxfId="192" priority="13">
      <formula>N33="BAJO"</formula>
    </cfRule>
  </conditionalFormatting>
  <conditionalFormatting sqref="N33">
    <cfRule type="expression" dxfId="191" priority="9">
      <formula>N33=" "</formula>
    </cfRule>
  </conditionalFormatting>
  <conditionalFormatting sqref="AL33">
    <cfRule type="expression" dxfId="190" priority="5">
      <formula>AL33="EXTREMO"</formula>
    </cfRule>
    <cfRule type="expression" dxfId="189" priority="6">
      <formula>AL33="MODERADO"</formula>
    </cfRule>
    <cfRule type="expression" dxfId="188" priority="7">
      <formula>AL33="ALTO"</formula>
    </cfRule>
    <cfRule type="expression" dxfId="187" priority="8">
      <formula>AL33="BAJO"</formula>
    </cfRule>
  </conditionalFormatting>
  <conditionalFormatting sqref="AL33">
    <cfRule type="expression" dxfId="186" priority="4">
      <formula>AL33=" "</formula>
    </cfRule>
  </conditionalFormatting>
  <dataValidations count="6">
    <dataValidation allowBlank="1" showInputMessage="1" showErrorMessage="1" prompt="En la Guía del DAFP añaden campo de descripción del riesgo. Es la suma de Riesgo + Causas + Consecuencias: Complejiza el asunto" sqref="F7"/>
    <dataValidation allowBlank="1" showInputMessage="1" showErrorMessage="1" prompt="Estructura:_x000a__x000a_Responsable +_x000a_Periodicidad +_x000a_Proposito +_x000a_Cómo se realiza +_x000a_Qué pasa con las desviaciones +_x000a_Evidencia" sqref="O8:O9"/>
    <dataValidation allowBlank="1" showInputMessage="1" showErrorMessage="1" prompt="Se incluyó a partír de la Guía de riesgos borrador del DAFP" sqref="S9"/>
    <dataValidation type="list" allowBlank="1" showInputMessage="1" showErrorMessage="1" sqref="AM47 AE47 AC47 AA47 Y47 W47 U47 P47:R47">
      <formula1>#REF!</formula1>
    </dataValidation>
    <dataValidation type="list" allowBlank="1" showInputMessage="1" showErrorMessage="1" prompt="1 - Insignificante_x000a_2 - Menor_x000a_3 - Moderado_x000a_4 - Mayor_x000a_5 - Catastrófico" sqref="AJ47">
      <formula1>#REF!</formula1>
    </dataValidation>
    <dataValidation type="list" allowBlank="1" showInputMessage="1" showErrorMessage="1" prompt="1 - Rara vez_x000a_2 - Improbable_x000a_3 - Posible_x000a_4 - Probable_x000a_5 - Casi Seguro" sqref="AI47">
      <formula1>#REF!</formula1>
    </dataValidation>
  </dataValidations>
  <pageMargins left="0.7" right="0.7" top="0.75" bottom="0.75" header="0.3" footer="0.3"/>
  <pageSetup paperSize="125" scale="60" fitToHeight="0" orientation="landscape" r:id="rId1"/>
  <drawing r:id="rId2"/>
  <legacyDrawing r:id="rId3"/>
  <extLst>
    <ext xmlns:x14="http://schemas.microsoft.com/office/spreadsheetml/2009/9/main" uri="{CCE6A557-97BC-4b89-ADB6-D9C93CAAB3DF}">
      <x14:dataValidations xmlns:xm="http://schemas.microsoft.com/office/excel/2006/main" count="97">
        <x14:dataValidation type="list" allowBlank="1" showInputMessage="1" showErrorMessage="1">
          <x14:formula1>
            <xm:f>[3]Listas!#REF!</xm:f>
          </x14:formula1>
          <xm:sqref>E12:E19</xm:sqref>
        </x14:dataValidation>
        <x14:dataValidation type="list" allowBlank="1" showInputMessage="1" showErrorMessage="1">
          <x14:formula1>
            <xm:f>[3]Listas!#REF!</xm:f>
          </x14:formula1>
          <xm:sqref>D12:D19 AM12:AM19 J15:J16 J12:J13 AE15:AE16 AE12 AC15:AC16 AC12 AA15:AA16 AA12 Y15:Y16 Y12 W15:W16 W12 U15:U16 U12 R12:S12 R15:S16 P12:Q19</xm:sqref>
        </x14:dataValidation>
        <x14:dataValidation type="list" allowBlank="1" showInputMessage="1" showErrorMessage="1" prompt="1 - Insignificante_x000a_2 - Menor_x000a_3 - Moderado_x000a_4 - Mayor_x000a_5 - Catastrófico">
          <x14:formula1>
            <xm:f>[3]Listas!#REF!</xm:f>
          </x14:formula1>
          <xm:sqref>L12:L13 L15:L16 AJ12 AJ15:AJ16</xm:sqref>
        </x14:dataValidation>
        <x14:dataValidation type="list" allowBlank="1" showInputMessage="1" showErrorMessage="1" prompt="1 - Rara vez_x000a_2 - Improbable_x000a_3 - Posible_x000a_4 - Probable_x000a_5 - Casi Seguro">
          <x14:formula1>
            <xm:f>[3]Listas!#REF!</xm:f>
          </x14:formula1>
          <xm:sqref>K12:K13 K15:K16 AI12 AI15:AI16</xm:sqref>
        </x14:dataValidation>
        <x14:dataValidation type="list" allowBlank="1" showInputMessage="1" showErrorMessage="1">
          <x14:formula1>
            <xm:f>[4]Listas!#REF!</xm:f>
          </x14:formula1>
          <xm:sqref>J20 AE20 AC20 AA20 Y20 W20 U20 P20:S20 AM20 D20:E21</xm:sqref>
        </x14:dataValidation>
        <x14:dataValidation type="list" allowBlank="1" showInputMessage="1" showErrorMessage="1" prompt="1 - Insignificante_x000a_2 - Menor_x000a_3 - Moderado_x000a_4 - Mayor_x000a_5 - Catastrófico">
          <x14:formula1>
            <xm:f>[4]Listas!#REF!</xm:f>
          </x14:formula1>
          <xm:sqref>L20 AJ20</xm:sqref>
        </x14:dataValidation>
        <x14:dataValidation type="list" allowBlank="1" showInputMessage="1" showErrorMessage="1" prompt="1 - Rara vez_x000a_2 - Improbable_x000a_3 - Posible_x000a_4 - Probable_x000a_5 - Casi Seguro">
          <x14:formula1>
            <xm:f>[4]Listas!#REF!</xm:f>
          </x14:formula1>
          <xm:sqref>K20 AI20</xm:sqref>
        </x14:dataValidation>
        <x14:dataValidation type="list" allowBlank="1" showInputMessage="1" showErrorMessage="1">
          <x14:formula1>
            <xm:f>[5]Listas!#REF!</xm:f>
          </x14:formula1>
          <xm:sqref>J22 AE22 AC22 AA22 Y22 W22 U22 P22:S22 AM22 D22:E25</xm:sqref>
        </x14:dataValidation>
        <x14:dataValidation type="list" allowBlank="1" showInputMessage="1" showErrorMessage="1" prompt="1 - Insignificante_x000a_2 - Menor_x000a_3 - Moderado_x000a_4 - Mayor_x000a_5 - Catastrófico">
          <x14:formula1>
            <xm:f>[5]Listas!#REF!</xm:f>
          </x14:formula1>
          <xm:sqref>AJ22 L22</xm:sqref>
        </x14:dataValidation>
        <x14:dataValidation type="list" allowBlank="1" showInputMessage="1" showErrorMessage="1" prompt="1 - Rara vez_x000a_2 - Improbable_x000a_3 - Posible_x000a_4 - Probable_x000a_5 - Casi Seguro">
          <x14:formula1>
            <xm:f>[5]Listas!#REF!</xm:f>
          </x14:formula1>
          <xm:sqref>AI22 K22</xm:sqref>
        </x14:dataValidation>
        <x14:dataValidation type="list" allowBlank="1" showInputMessage="1" showErrorMessage="1">
          <x14:formula1>
            <xm:f>[11]Listas!#REF!</xm:f>
          </x14:formula1>
          <xm:sqref>J38:J42 D38:E42 AE38:AE42 AC38:AC42 AA38:AA42 Y38:Y42 W38:W42 U38:U42 P38:S42 AM38:AM42</xm:sqref>
        </x14:dataValidation>
        <x14:dataValidation type="list" allowBlank="1" showInputMessage="1" showErrorMessage="1" prompt="1 - Rara vez_x000a_2 - Improbable_x000a_3 - Posible_x000a_4 - Probable_x000a_5 - Casi Seguro">
          <x14:formula1>
            <xm:f>[11]Listas!#REF!</xm:f>
          </x14:formula1>
          <xm:sqref>K38:K42 AI38:AI42</xm:sqref>
        </x14:dataValidation>
        <x14:dataValidation type="list" allowBlank="1" showInputMessage="1" showErrorMessage="1" prompt="1 - Insignificante_x000a_2 - Menor_x000a_3 - Moderado_x000a_4 - Mayor_x000a_5 - Catastrófico">
          <x14:formula1>
            <xm:f>[11]Listas!#REF!</xm:f>
          </x14:formula1>
          <xm:sqref>L38:L42 AJ38:AJ42</xm:sqref>
        </x14:dataValidation>
        <x14:dataValidation type="list" allowBlank="1" showInputMessage="1" showErrorMessage="1">
          <x14:formula1>
            <xm:f>[12]Listas!#REF!</xm:f>
          </x14:formula1>
          <xm:sqref>D43:D45 J43 AM43 AE43:AE45 AC43:AC45 AA43:AA45 Y43:Y45 W43:W45 U43:U45 P43:S45</xm:sqref>
        </x14:dataValidation>
        <x14:dataValidation type="list" allowBlank="1" showInputMessage="1" showErrorMessage="1" prompt="1 - Insignificante_x000a_2 - Menor_x000a_3 - Moderado_x000a_4 - Mayor_x000a_5 - Catastrófico">
          <x14:formula1>
            <xm:f>[12]Listas!#REF!</xm:f>
          </x14:formula1>
          <xm:sqref>L43 AJ43</xm:sqref>
        </x14:dataValidation>
        <x14:dataValidation type="list" allowBlank="1" showInputMessage="1" showErrorMessage="1" prompt="1 - Rara vez_x000a_2 - Improbable_x000a_3 - Posible_x000a_4 - Probable_x000a_5 - Casi Seguro">
          <x14:formula1>
            <xm:f>[12]Listas!#REF!</xm:f>
          </x14:formula1>
          <xm:sqref>K43 AI43</xm:sqref>
        </x14:dataValidation>
        <x14:dataValidation type="list" allowBlank="1" showInputMessage="1" showErrorMessage="1">
          <x14:formula1>
            <xm:f>[10]Listas!#REF!</xm:f>
          </x14:formula1>
          <xm:sqref>D34:E37 AM34:AM37 AE34:AE36 AC34:AC36 AA34:AA36 Y34:Y36 W34:W36 U34:U36 P34:S36 J34 J36:J37</xm:sqref>
        </x14:dataValidation>
        <x14:dataValidation type="list" allowBlank="1" showInputMessage="1" showErrorMessage="1" prompt="1 - Rara vez_x000a_2 - Improbable_x000a_3 - Posible_x000a_4 - Probable_x000a_5 - Casi Seguro">
          <x14:formula1>
            <xm:f>[10]Listas!#REF!</xm:f>
          </x14:formula1>
          <xm:sqref>AI34:AI37 K34:K37</xm:sqref>
        </x14:dataValidation>
        <x14:dataValidation type="list" allowBlank="1" showInputMessage="1" showErrorMessage="1" prompt="1 - Insignificante_x000a_2 - Menor_x000a_3 - Moderado_x000a_4 - Mayor_x000a_5 - Catastrófico">
          <x14:formula1>
            <xm:f>[10]Listas!#REF!</xm:f>
          </x14:formula1>
          <xm:sqref>AJ34:AJ37 L34:L37</xm:sqref>
        </x14:dataValidation>
        <x14:dataValidation type="list" allowBlank="1" showInputMessage="1" showErrorMessage="1">
          <x14:formula1>
            <xm:f>[1]Listas!#REF!</xm:f>
          </x14:formula1>
          <xm:sqref>Q10:R10</xm:sqref>
        </x14:dataValidation>
        <x14:dataValidation type="list" allowBlank="1" showInputMessage="1" showErrorMessage="1" prompt="1 - Insignificante_x000a_2 - Menor_x000a_3 - Moderado_x000a_4 - Mayor_x000a_5 - Catastrófico">
          <x14:formula1>
            <xm:f>[1]Listas!#REF!</xm:f>
          </x14:formula1>
          <xm:sqref>AJ10</xm:sqref>
        </x14:dataValidation>
        <x14:dataValidation type="list" allowBlank="1" showInputMessage="1" showErrorMessage="1" prompt="1 - Rara vez_x000a_2 - Improbable_x000a_3 - Posible_x000a_4 - Probable_x000a_5 - Casi Seguro">
          <x14:formula1>
            <xm:f>[1]Listas!#REF!</xm:f>
          </x14:formula1>
          <xm:sqref>AI10</xm:sqref>
        </x14:dataValidation>
        <x14:dataValidation type="list" allowBlank="1" showInputMessage="1" showErrorMessage="1">
          <x14:formula1>
            <xm:f>[1]Listas!#REF!</xm:f>
          </x14:formula1>
          <xm:sqref>P10</xm:sqref>
        </x14:dataValidation>
        <x14:dataValidation type="list" allowBlank="1" showInputMessage="1" showErrorMessage="1">
          <x14:formula1>
            <xm:f>[1]Listas!#REF!</xm:f>
          </x14:formula1>
          <xm:sqref>S10</xm:sqref>
        </x14:dataValidation>
        <x14:dataValidation type="list" allowBlank="1" showInputMessage="1" showErrorMessage="1">
          <x14:formula1>
            <xm:f>[1]Listas!#REF!</xm:f>
          </x14:formula1>
          <xm:sqref>U10</xm:sqref>
        </x14:dataValidation>
        <x14:dataValidation type="list" allowBlank="1" showInputMessage="1" showErrorMessage="1">
          <x14:formula1>
            <xm:f>[1]Listas!#REF!</xm:f>
          </x14:formula1>
          <xm:sqref>W10</xm:sqref>
        </x14:dataValidation>
        <x14:dataValidation type="list" allowBlank="1" showInputMessage="1" showErrorMessage="1">
          <x14:formula1>
            <xm:f>[1]Listas!#REF!</xm:f>
          </x14:formula1>
          <xm:sqref>Y10</xm:sqref>
        </x14:dataValidation>
        <x14:dataValidation type="list" allowBlank="1" showInputMessage="1" showErrorMessage="1">
          <x14:formula1>
            <xm:f>[1]Listas!#REF!</xm:f>
          </x14:formula1>
          <xm:sqref>AA10</xm:sqref>
        </x14:dataValidation>
        <x14:dataValidation type="list" allowBlank="1" showInputMessage="1" showErrorMessage="1">
          <x14:formula1>
            <xm:f>[1]Listas!#REF!</xm:f>
          </x14:formula1>
          <xm:sqref>AC10</xm:sqref>
        </x14:dataValidation>
        <x14:dataValidation type="list" allowBlank="1" showInputMessage="1" showErrorMessage="1">
          <x14:formula1>
            <xm:f>[1]Listas!#REF!</xm:f>
          </x14:formula1>
          <xm:sqref>AE10</xm:sqref>
        </x14:dataValidation>
        <x14:dataValidation type="list" allowBlank="1" showInputMessage="1" showErrorMessage="1">
          <x14:formula1>
            <xm:f>[1]Listas!#REF!</xm:f>
          </x14:formula1>
          <xm:sqref>AM10</xm:sqref>
        </x14:dataValidation>
        <x14:dataValidation type="list" allowBlank="1" showInputMessage="1" showErrorMessage="1" prompt="1 - Insignificante_x000a_2 - Menor_x000a_3 - Moderado_x000a_4 - Mayor_x000a_5 - Catastrófico">
          <x14:formula1>
            <xm:f>[1]Listas!#REF!</xm:f>
          </x14:formula1>
          <xm:sqref>L10</xm:sqref>
        </x14:dataValidation>
        <x14:dataValidation type="list" allowBlank="1" showInputMessage="1" showErrorMessage="1" prompt="1 - Rara vez_x000a_2 - Improbable_x000a_3 - Posible_x000a_4 - Probable_x000a_5 - Casi Seguro">
          <x14:formula1>
            <xm:f>[1]Listas!#REF!</xm:f>
          </x14:formula1>
          <xm:sqref>K10</xm:sqref>
        </x14:dataValidation>
        <x14:dataValidation type="list" allowBlank="1" showInputMessage="1" showErrorMessage="1">
          <x14:formula1>
            <xm:f>[1]Listas!#REF!</xm:f>
          </x14:formula1>
          <xm:sqref>J10</xm:sqref>
        </x14:dataValidation>
        <x14:dataValidation type="list" allowBlank="1" showInputMessage="1" showErrorMessage="1">
          <x14:formula1>
            <xm:f>[2]Listas!#REF!</xm:f>
          </x14:formula1>
          <xm:sqref>Q11:R11</xm:sqref>
        </x14:dataValidation>
        <x14:dataValidation type="list" allowBlank="1" showInputMessage="1" showErrorMessage="1" prompt="1 - Insignificante_x000a_2 - Menor_x000a_3 - Moderado_x000a_4 - Mayor_x000a_5 - Catastrófico">
          <x14:formula1>
            <xm:f>[2]Listas!#REF!</xm:f>
          </x14:formula1>
          <xm:sqref>L11 AJ11</xm:sqref>
        </x14:dataValidation>
        <x14:dataValidation type="list" allowBlank="1" showInputMessage="1" showErrorMessage="1" prompt="1 - Rara vez_x000a_2 - Improbable_x000a_3 - Posible_x000a_4 - Probable_x000a_5 - Casi Seguro">
          <x14:formula1>
            <xm:f>[2]Listas!#REF!</xm:f>
          </x14:formula1>
          <xm:sqref>K11 AI11</xm:sqref>
        </x14:dataValidation>
        <x14:dataValidation type="list" allowBlank="1" showInputMessage="1" showErrorMessage="1">
          <x14:formula1>
            <xm:f>[2]Listas!#REF!</xm:f>
          </x14:formula1>
          <xm:sqref>P11</xm:sqref>
        </x14:dataValidation>
        <x14:dataValidation type="list" allowBlank="1" showInputMessage="1" showErrorMessage="1">
          <x14:formula1>
            <xm:f>[2]Listas!#REF!</xm:f>
          </x14:formula1>
          <xm:sqref>S11</xm:sqref>
        </x14:dataValidation>
        <x14:dataValidation type="list" allowBlank="1" showInputMessage="1" showErrorMessage="1">
          <x14:formula1>
            <xm:f>[2]Listas!#REF!</xm:f>
          </x14:formula1>
          <xm:sqref>U11</xm:sqref>
        </x14:dataValidation>
        <x14:dataValidation type="list" allowBlank="1" showInputMessage="1" showErrorMessage="1">
          <x14:formula1>
            <xm:f>[2]Listas!#REF!</xm:f>
          </x14:formula1>
          <xm:sqref>W11</xm:sqref>
        </x14:dataValidation>
        <x14:dataValidation type="list" allowBlank="1" showInputMessage="1" showErrorMessage="1">
          <x14:formula1>
            <xm:f>[2]Listas!#REF!</xm:f>
          </x14:formula1>
          <xm:sqref>Y11</xm:sqref>
        </x14:dataValidation>
        <x14:dataValidation type="list" allowBlank="1" showInputMessage="1" showErrorMessage="1">
          <x14:formula1>
            <xm:f>[2]Listas!#REF!</xm:f>
          </x14:formula1>
          <xm:sqref>AA11</xm:sqref>
        </x14:dataValidation>
        <x14:dataValidation type="list" allowBlank="1" showInputMessage="1" showErrorMessage="1">
          <x14:formula1>
            <xm:f>[2]Listas!#REF!</xm:f>
          </x14:formula1>
          <xm:sqref>AC11</xm:sqref>
        </x14:dataValidation>
        <x14:dataValidation type="list" allowBlank="1" showInputMessage="1" showErrorMessage="1">
          <x14:formula1>
            <xm:f>[2]Listas!#REF!</xm:f>
          </x14:formula1>
          <xm:sqref>AE11</xm:sqref>
        </x14:dataValidation>
        <x14:dataValidation type="list" allowBlank="1" showInputMessage="1" showErrorMessage="1">
          <x14:formula1>
            <xm:f>[2]Listas!#REF!</xm:f>
          </x14:formula1>
          <xm:sqref>E11</xm:sqref>
        </x14:dataValidation>
        <x14:dataValidation type="list" allowBlank="1" showInputMessage="1" showErrorMessage="1">
          <x14:formula1>
            <xm:f>[2]Listas!#REF!</xm:f>
          </x14:formula1>
          <xm:sqref>D11</xm:sqref>
        </x14:dataValidation>
        <x14:dataValidation type="list" allowBlank="1" showInputMessage="1" showErrorMessage="1">
          <x14:formula1>
            <xm:f>[2]Listas!#REF!</xm:f>
          </x14:formula1>
          <xm:sqref>AM11</xm:sqref>
        </x14:dataValidation>
        <x14:dataValidation type="list" allowBlank="1" showInputMessage="1" showErrorMessage="1">
          <x14:formula1>
            <xm:f>[2]Listas!#REF!</xm:f>
          </x14:formula1>
          <xm:sqref>J11</xm:sqref>
        </x14:dataValidation>
        <x14:dataValidation type="list" allowBlank="1" showInputMessage="1" showErrorMessage="1">
          <x14:formula1>
            <xm:f>[6]Listas!#REF!</xm:f>
          </x14:formula1>
          <xm:sqref>J26:J27 D26:E27 AE26:AE27 AC26:AC27 AA26:AA27 Y26:Y27 W26:W27 U26:U27 P26:S27 AM26:AM27</xm:sqref>
        </x14:dataValidation>
        <x14:dataValidation type="list" allowBlank="1" showInputMessage="1" showErrorMessage="1" prompt="1 - Rara vez_x000a_2 - Improbable_x000a_3 - Posible_x000a_4 - Probable_x000a_5 - Casi Seguro">
          <x14:formula1>
            <xm:f>[6]Listas!#REF!</xm:f>
          </x14:formula1>
          <xm:sqref>K26:K27 AJ26:AJ27</xm:sqref>
        </x14:dataValidation>
        <x14:dataValidation type="list" allowBlank="1" showInputMessage="1" showErrorMessage="1" prompt="1 - Insignificante_x000a_2 - Menor_x000a_3 - Moderado_x000a_4 - Mayor_x000a_5 - Catastrófico">
          <x14:formula1>
            <xm:f>[6]Listas!#REF!</xm:f>
          </x14:formula1>
          <xm:sqref>L26:L27 AK26:AK27</xm:sqref>
        </x14:dataValidation>
        <x14:dataValidation type="list" allowBlank="1" showInputMessage="1" showErrorMessage="1">
          <x14:formula1>
            <xm:f>[7]Listas!#REF!</xm:f>
          </x14:formula1>
          <xm:sqref>Q28:R29</xm:sqref>
        </x14:dataValidation>
        <x14:dataValidation type="list" allowBlank="1" showInputMessage="1" showErrorMessage="1" prompt="1 - Insignificante_x000a_2 - Menor_x000a_3 - Moderado_x000a_4 - Mayor_x000a_5 - Catastrófico">
          <x14:formula1>
            <xm:f>[7]Listas!#REF!</xm:f>
          </x14:formula1>
          <xm:sqref>AJ28:AJ29 L28:L29</xm:sqref>
        </x14:dataValidation>
        <x14:dataValidation type="list" allowBlank="1" showInputMessage="1" showErrorMessage="1" prompt="1 - Rara vez_x000a_2 - Improbable_x000a_3 - Posible_x000a_4 - Probable_x000a_5 - Casi Seguro">
          <x14:formula1>
            <xm:f>[7]Listas!#REF!</xm:f>
          </x14:formula1>
          <xm:sqref>AI28:AI29 K28:K29</xm:sqref>
        </x14:dataValidation>
        <x14:dataValidation type="list" allowBlank="1" showInputMessage="1" showErrorMessage="1">
          <x14:formula1>
            <xm:f>[7]Listas!#REF!</xm:f>
          </x14:formula1>
          <xm:sqref>P28:P29</xm:sqref>
        </x14:dataValidation>
        <x14:dataValidation type="list" allowBlank="1" showInputMessage="1" showErrorMessage="1">
          <x14:formula1>
            <xm:f>[7]Listas!#REF!</xm:f>
          </x14:formula1>
          <xm:sqref>S28:S29</xm:sqref>
        </x14:dataValidation>
        <x14:dataValidation type="list" allowBlank="1" showInputMessage="1" showErrorMessage="1">
          <x14:formula1>
            <xm:f>[7]Listas!#REF!</xm:f>
          </x14:formula1>
          <xm:sqref>U28:U29</xm:sqref>
        </x14:dataValidation>
        <x14:dataValidation type="list" allowBlank="1" showInputMessage="1" showErrorMessage="1">
          <x14:formula1>
            <xm:f>[7]Listas!#REF!</xm:f>
          </x14:formula1>
          <xm:sqref>W28:W29</xm:sqref>
        </x14:dataValidation>
        <x14:dataValidation type="list" allowBlank="1" showInputMessage="1" showErrorMessage="1">
          <x14:formula1>
            <xm:f>[7]Listas!#REF!</xm:f>
          </x14:formula1>
          <xm:sqref>Y28:Y29</xm:sqref>
        </x14:dataValidation>
        <x14:dataValidation type="list" allowBlank="1" showInputMessage="1" showErrorMessage="1">
          <x14:formula1>
            <xm:f>[7]Listas!#REF!</xm:f>
          </x14:formula1>
          <xm:sqref>AA28:AA29</xm:sqref>
        </x14:dataValidation>
        <x14:dataValidation type="list" allowBlank="1" showInputMessage="1" showErrorMessage="1">
          <x14:formula1>
            <xm:f>[7]Listas!#REF!</xm:f>
          </x14:formula1>
          <xm:sqref>AC28:AC29</xm:sqref>
        </x14:dataValidation>
        <x14:dataValidation type="list" allowBlank="1" showInputMessage="1" showErrorMessage="1">
          <x14:formula1>
            <xm:f>[7]Listas!#REF!</xm:f>
          </x14:formula1>
          <xm:sqref>AE28:AE29</xm:sqref>
        </x14:dataValidation>
        <x14:dataValidation type="list" allowBlank="1" showInputMessage="1" showErrorMessage="1">
          <x14:formula1>
            <xm:f>[7]Listas!#REF!</xm:f>
          </x14:formula1>
          <xm:sqref>E28:E29</xm:sqref>
        </x14:dataValidation>
        <x14:dataValidation type="list" allowBlank="1" showInputMessage="1" showErrorMessage="1">
          <x14:formula1>
            <xm:f>[7]Listas!#REF!</xm:f>
          </x14:formula1>
          <xm:sqref>D28:D29</xm:sqref>
        </x14:dataValidation>
        <x14:dataValidation type="list" allowBlank="1" showInputMessage="1" showErrorMessage="1">
          <x14:formula1>
            <xm:f>[7]Listas!#REF!</xm:f>
          </x14:formula1>
          <xm:sqref>J28:J29</xm:sqref>
        </x14:dataValidation>
        <x14:dataValidation type="list" allowBlank="1" showInputMessage="1" showErrorMessage="1">
          <x14:formula1>
            <xm:f>[7]Listas!#REF!</xm:f>
          </x14:formula1>
          <xm:sqref>AM28:AM29</xm:sqref>
        </x14:dataValidation>
        <x14:dataValidation type="list" allowBlank="1" showInputMessage="1" showErrorMessage="1">
          <x14:formula1>
            <xm:f>[8]Listas!#REF!</xm:f>
          </x14:formula1>
          <xm:sqref>Q30:R30</xm:sqref>
        </x14:dataValidation>
        <x14:dataValidation type="list" allowBlank="1" showInputMessage="1" showErrorMessage="1" prompt="1 - Insignificante_x000a_2 - Menor_x000a_3 - Moderado_x000a_4 - Mayor_x000a_5 - Catastrófico">
          <x14:formula1>
            <xm:f>[8]Listas!#REF!</xm:f>
          </x14:formula1>
          <xm:sqref>AJ30 L30</xm:sqref>
        </x14:dataValidation>
        <x14:dataValidation type="list" allowBlank="1" showInputMessage="1" showErrorMessage="1" prompt="1 - Rara vez_x000a_2 - Improbable_x000a_3 - Posible_x000a_4 - Probable_x000a_5 - Casi Seguro">
          <x14:formula1>
            <xm:f>[8]Listas!#REF!</xm:f>
          </x14:formula1>
          <xm:sqref>AI30 K30</xm:sqref>
        </x14:dataValidation>
        <x14:dataValidation type="list" allowBlank="1" showInputMessage="1" showErrorMessage="1">
          <x14:formula1>
            <xm:f>[8]Listas!#REF!</xm:f>
          </x14:formula1>
          <xm:sqref>P30</xm:sqref>
        </x14:dataValidation>
        <x14:dataValidation type="list" allowBlank="1" showInputMessage="1" showErrorMessage="1">
          <x14:formula1>
            <xm:f>[8]Listas!#REF!</xm:f>
          </x14:formula1>
          <xm:sqref>S30</xm:sqref>
        </x14:dataValidation>
        <x14:dataValidation type="list" allowBlank="1" showInputMessage="1" showErrorMessage="1">
          <x14:formula1>
            <xm:f>[8]Listas!#REF!</xm:f>
          </x14:formula1>
          <xm:sqref>U30</xm:sqref>
        </x14:dataValidation>
        <x14:dataValidation type="list" allowBlank="1" showInputMessage="1" showErrorMessage="1">
          <x14:formula1>
            <xm:f>[8]Listas!#REF!</xm:f>
          </x14:formula1>
          <xm:sqref>W30</xm:sqref>
        </x14:dataValidation>
        <x14:dataValidation type="list" allowBlank="1" showInputMessage="1" showErrorMessage="1">
          <x14:formula1>
            <xm:f>[8]Listas!#REF!</xm:f>
          </x14:formula1>
          <xm:sqref>Y30</xm:sqref>
        </x14:dataValidation>
        <x14:dataValidation type="list" allowBlank="1" showInputMessage="1" showErrorMessage="1">
          <x14:formula1>
            <xm:f>[8]Listas!#REF!</xm:f>
          </x14:formula1>
          <xm:sqref>AA30</xm:sqref>
        </x14:dataValidation>
        <x14:dataValidation type="list" allowBlank="1" showInputMessage="1" showErrorMessage="1">
          <x14:formula1>
            <xm:f>[8]Listas!#REF!</xm:f>
          </x14:formula1>
          <xm:sqref>AC30</xm:sqref>
        </x14:dataValidation>
        <x14:dataValidation type="list" allowBlank="1" showInputMessage="1" showErrorMessage="1">
          <x14:formula1>
            <xm:f>[8]Listas!#REF!</xm:f>
          </x14:formula1>
          <xm:sqref>AE30</xm:sqref>
        </x14:dataValidation>
        <x14:dataValidation type="list" allowBlank="1" showInputMessage="1" showErrorMessage="1">
          <x14:formula1>
            <xm:f>[8]Listas!#REF!</xm:f>
          </x14:formula1>
          <xm:sqref>E30</xm:sqref>
        </x14:dataValidation>
        <x14:dataValidation type="list" allowBlank="1" showInputMessage="1" showErrorMessage="1">
          <x14:formula1>
            <xm:f>[8]Listas!#REF!</xm:f>
          </x14:formula1>
          <xm:sqref>D30</xm:sqref>
        </x14:dataValidation>
        <x14:dataValidation type="list" allowBlank="1" showInputMessage="1" showErrorMessage="1">
          <x14:formula1>
            <xm:f>[8]Listas!#REF!</xm:f>
          </x14:formula1>
          <xm:sqref>AM30</xm:sqref>
        </x14:dataValidation>
        <x14:dataValidation type="list" allowBlank="1" showInputMessage="1" showErrorMessage="1">
          <x14:formula1>
            <xm:f>[8]Listas!#REF!</xm:f>
          </x14:formula1>
          <xm:sqref>J30</xm:sqref>
        </x14:dataValidation>
        <x14:dataValidation type="list" allowBlank="1" showInputMessage="1" showErrorMessage="1">
          <x14:formula1>
            <xm:f>[9]Listas!#REF!</xm:f>
          </x14:formula1>
          <xm:sqref>Q31:R33</xm:sqref>
        </x14:dataValidation>
        <x14:dataValidation type="list" allowBlank="1" showInputMessage="1" showErrorMessage="1" prompt="1 - Insignificante_x000a_2 - Menor_x000a_3 - Moderado_x000a_4 - Mayor_x000a_5 - Catastrófico">
          <x14:formula1>
            <xm:f>[9]Listas!#REF!</xm:f>
          </x14:formula1>
          <xm:sqref>L33 L31 AJ31 AJ33</xm:sqref>
        </x14:dataValidation>
        <x14:dataValidation type="list" allowBlank="1" showInputMessage="1" showErrorMessage="1" prompt="1 - Rara vez_x000a_2 - Improbable_x000a_3 - Posible_x000a_4 - Probable_x000a_5 - Casi Seguro">
          <x14:formula1>
            <xm:f>[9]Listas!#REF!</xm:f>
          </x14:formula1>
          <xm:sqref>K33 K31 AI31 AI33</xm:sqref>
        </x14:dataValidation>
        <x14:dataValidation type="list" allowBlank="1" showInputMessage="1" showErrorMessage="1">
          <x14:formula1>
            <xm:f>[9]Listas!#REF!</xm:f>
          </x14:formula1>
          <xm:sqref>P31:P33</xm:sqref>
        </x14:dataValidation>
        <x14:dataValidation type="list" allowBlank="1" showInputMessage="1" showErrorMessage="1">
          <x14:formula1>
            <xm:f>[9]Listas!#REF!</xm:f>
          </x14:formula1>
          <xm:sqref>S31:S33</xm:sqref>
        </x14:dataValidation>
        <x14:dataValidation type="list" allowBlank="1" showInputMessage="1" showErrorMessage="1">
          <x14:formula1>
            <xm:f>[9]Listas!#REF!</xm:f>
          </x14:formula1>
          <xm:sqref>U31:U33</xm:sqref>
        </x14:dataValidation>
        <x14:dataValidation type="list" allowBlank="1" showInputMessage="1" showErrorMessage="1">
          <x14:formula1>
            <xm:f>[9]Listas!#REF!</xm:f>
          </x14:formula1>
          <xm:sqref>W31:W33</xm:sqref>
        </x14:dataValidation>
        <x14:dataValidation type="list" allowBlank="1" showInputMessage="1" showErrorMessage="1">
          <x14:formula1>
            <xm:f>[9]Listas!#REF!</xm:f>
          </x14:formula1>
          <xm:sqref>Y31:Y33</xm:sqref>
        </x14:dataValidation>
        <x14:dataValidation type="list" allowBlank="1" showInputMessage="1" showErrorMessage="1">
          <x14:formula1>
            <xm:f>[9]Listas!#REF!</xm:f>
          </x14:formula1>
          <xm:sqref>AA31:AA33</xm:sqref>
        </x14:dataValidation>
        <x14:dataValidation type="list" allowBlank="1" showInputMessage="1" showErrorMessage="1">
          <x14:formula1>
            <xm:f>[9]Listas!#REF!</xm:f>
          </x14:formula1>
          <xm:sqref>AC31:AC33</xm:sqref>
        </x14:dataValidation>
        <x14:dataValidation type="list" allowBlank="1" showInputMessage="1" showErrorMessage="1">
          <x14:formula1>
            <xm:f>[9]Listas!#REF!</xm:f>
          </x14:formula1>
          <xm:sqref>AE31:AE33</xm:sqref>
        </x14:dataValidation>
        <x14:dataValidation type="list" allowBlank="1" showInputMessage="1" showErrorMessage="1">
          <x14:formula1>
            <xm:f>[9]Listas!#REF!</xm:f>
          </x14:formula1>
          <xm:sqref>E31:E33</xm:sqref>
        </x14:dataValidation>
        <x14:dataValidation type="list" allowBlank="1" showInputMessage="1" showErrorMessage="1">
          <x14:formula1>
            <xm:f>[9]Listas!#REF!</xm:f>
          </x14:formula1>
          <xm:sqref>D31:D33</xm:sqref>
        </x14:dataValidation>
        <x14:dataValidation type="list" allowBlank="1" showInputMessage="1" showErrorMessage="1">
          <x14:formula1>
            <xm:f>[9]Listas!#REF!</xm:f>
          </x14:formula1>
          <xm:sqref>AM31 AM33</xm:sqref>
        </x14:dataValidation>
        <x14:dataValidation type="list" allowBlank="1" showInputMessage="1" showErrorMessage="1">
          <x14:formula1>
            <xm:f>[9]Listas!#REF!</xm:f>
          </x14:formula1>
          <xm:sqref>J31 J33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47"/>
  <sheetViews>
    <sheetView zoomScale="70" zoomScaleNormal="70" workbookViewId="0">
      <pane xSplit="1" ySplit="9" topLeftCell="AV35" activePane="bottomRight" state="frozen"/>
      <selection pane="topRight" activeCell="B1" sqref="B1"/>
      <selection pane="bottomLeft" activeCell="A10" sqref="A10"/>
      <selection pane="bottomRight" activeCell="BA38" sqref="BA38"/>
    </sheetView>
  </sheetViews>
  <sheetFormatPr baseColWidth="10" defaultRowHeight="15" x14ac:dyDescent="0.25"/>
  <cols>
    <col min="1" max="1" width="14.7109375" customWidth="1"/>
    <col min="2" max="2" width="7.42578125" customWidth="1"/>
    <col min="3" max="5" width="0" hidden="1" customWidth="1"/>
    <col min="6" max="6" width="15" hidden="1" customWidth="1"/>
    <col min="7" max="7" width="22.28515625" hidden="1" customWidth="1"/>
    <col min="8" max="8" width="13.140625" customWidth="1"/>
    <col min="9" max="9" width="12.85546875" hidden="1" customWidth="1"/>
    <col min="11" max="11" width="7.7109375" hidden="1" customWidth="1"/>
    <col min="12" max="12" width="8.140625" hidden="1" customWidth="1"/>
    <col min="13" max="13" width="6.140625" hidden="1" customWidth="1"/>
    <col min="14" max="14" width="0" hidden="1" customWidth="1"/>
    <col min="15" max="15" width="33" customWidth="1"/>
    <col min="16" max="19" width="0" hidden="1" customWidth="1"/>
    <col min="20" max="20" width="4.7109375" hidden="1" customWidth="1"/>
    <col min="21" max="21" width="0" hidden="1" customWidth="1"/>
    <col min="22" max="22" width="7.140625" hidden="1" customWidth="1"/>
    <col min="23" max="23" width="0" hidden="1" customWidth="1"/>
    <col min="24" max="24" width="6.28515625" hidden="1" customWidth="1"/>
    <col min="25" max="25" width="0" hidden="1" customWidth="1"/>
    <col min="26" max="26" width="8.140625" hidden="1" customWidth="1"/>
    <col min="27" max="27" width="0" hidden="1" customWidth="1"/>
    <col min="28" max="28" width="6.7109375" hidden="1" customWidth="1"/>
    <col min="29" max="29" width="0" hidden="1" customWidth="1"/>
    <col min="30" max="30" width="7.28515625" hidden="1" customWidth="1"/>
    <col min="31" max="31" width="0" hidden="1" customWidth="1"/>
    <col min="32" max="32" width="7.140625" hidden="1" customWidth="1"/>
    <col min="33" max="33" width="9.140625" hidden="1" customWidth="1"/>
    <col min="34" max="34" width="8.42578125" hidden="1" customWidth="1"/>
    <col min="35" max="38" width="0" hidden="1" customWidth="1"/>
    <col min="40" max="40" width="28.5703125" customWidth="1"/>
    <col min="41" max="41" width="15.42578125" customWidth="1"/>
    <col min="42" max="42" width="16.42578125" customWidth="1"/>
    <col min="45" max="45" width="6.28515625" customWidth="1"/>
    <col min="46" max="46" width="5.5703125" customWidth="1"/>
    <col min="47" max="47" width="11.85546875" customWidth="1"/>
    <col min="48" max="48" width="31" customWidth="1"/>
    <col min="49" max="49" width="32.42578125" customWidth="1"/>
    <col min="50" max="50" width="10.5703125" customWidth="1"/>
    <col min="51" max="51" width="8.5703125" customWidth="1"/>
    <col min="52" max="52" width="22.42578125" customWidth="1"/>
    <col min="53" max="53" width="21.5703125" customWidth="1"/>
  </cols>
  <sheetData>
    <row r="1" spans="1:53" s="251" customFormat="1" ht="30" hidden="1" customHeight="1" x14ac:dyDescent="0.25">
      <c r="A1" s="470"/>
      <c r="B1" s="470"/>
      <c r="C1" s="470"/>
      <c r="D1" s="479" t="s">
        <v>679</v>
      </c>
      <c r="E1" s="479"/>
      <c r="F1" s="479"/>
      <c r="G1" s="479"/>
      <c r="H1" s="479"/>
      <c r="I1" s="479"/>
      <c r="J1" s="479"/>
      <c r="K1" s="479"/>
      <c r="L1" s="479"/>
      <c r="M1" s="480" t="s">
        <v>680</v>
      </c>
      <c r="N1" s="480"/>
      <c r="O1" s="480"/>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50"/>
      <c r="AQ1" s="250"/>
      <c r="AR1" s="250"/>
    </row>
    <row r="2" spans="1:53" s="251" customFormat="1" ht="30" hidden="1" customHeight="1" x14ac:dyDescent="0.25">
      <c r="A2" s="470"/>
      <c r="B2" s="470"/>
      <c r="C2" s="470"/>
      <c r="D2" s="481" t="s">
        <v>681</v>
      </c>
      <c r="E2" s="482"/>
      <c r="F2" s="482"/>
      <c r="G2" s="482"/>
      <c r="H2" s="482"/>
      <c r="I2" s="482"/>
      <c r="J2" s="482"/>
      <c r="K2" s="482"/>
      <c r="L2" s="483"/>
      <c r="M2" s="480" t="s">
        <v>682</v>
      </c>
      <c r="N2" s="480"/>
      <c r="O2" s="480"/>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50"/>
      <c r="AQ2" s="250"/>
      <c r="AR2" s="250"/>
    </row>
    <row r="3" spans="1:53" s="251" customFormat="1" ht="30" hidden="1" customHeight="1" x14ac:dyDescent="0.25">
      <c r="A3" s="470"/>
      <c r="B3" s="470"/>
      <c r="C3" s="470"/>
      <c r="D3" s="484"/>
      <c r="E3" s="485"/>
      <c r="F3" s="485"/>
      <c r="G3" s="485"/>
      <c r="H3" s="485"/>
      <c r="I3" s="485"/>
      <c r="J3" s="485"/>
      <c r="K3" s="485"/>
      <c r="L3" s="486"/>
      <c r="M3" s="480" t="s">
        <v>683</v>
      </c>
      <c r="N3" s="480"/>
      <c r="O3" s="480"/>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50"/>
      <c r="AQ3" s="250"/>
      <c r="AR3" s="250"/>
    </row>
    <row r="4" spans="1:53" hidden="1" x14ac:dyDescent="0.25"/>
    <row r="5" spans="1:53" hidden="1" x14ac:dyDescent="0.25"/>
    <row r="7" spans="1:53" ht="30.75" customHeight="1" x14ac:dyDescent="0.25">
      <c r="A7" s="465" t="s">
        <v>38</v>
      </c>
      <c r="B7" s="252"/>
      <c r="C7" s="471" t="s">
        <v>684</v>
      </c>
      <c r="D7" s="472"/>
      <c r="E7" s="472"/>
      <c r="F7" s="502" t="s">
        <v>33</v>
      </c>
      <c r="G7" s="502"/>
      <c r="H7" s="502"/>
      <c r="I7" s="502"/>
      <c r="J7" s="503"/>
      <c r="K7" s="487" t="s">
        <v>685</v>
      </c>
      <c r="L7" s="488"/>
      <c r="M7" s="488"/>
      <c r="N7" s="489"/>
      <c r="O7" s="475" t="s">
        <v>686</v>
      </c>
      <c r="P7" s="476"/>
      <c r="Q7" s="476"/>
      <c r="R7" s="476"/>
      <c r="S7" s="476"/>
      <c r="T7" s="476"/>
      <c r="U7" s="476"/>
      <c r="V7" s="476"/>
      <c r="W7" s="476"/>
      <c r="X7" s="476"/>
      <c r="Y7" s="476"/>
      <c r="Z7" s="476"/>
      <c r="AA7" s="476"/>
      <c r="AB7" s="476"/>
      <c r="AC7" s="476"/>
      <c r="AD7" s="476"/>
      <c r="AE7" s="476"/>
      <c r="AF7" s="476"/>
      <c r="AG7" s="476"/>
      <c r="AH7" s="476"/>
      <c r="AI7" s="477" t="s">
        <v>687</v>
      </c>
      <c r="AJ7" s="477"/>
      <c r="AK7" s="477"/>
      <c r="AL7" s="477"/>
      <c r="AM7" s="478" t="s">
        <v>688</v>
      </c>
      <c r="AN7" s="478"/>
      <c r="AO7" s="478"/>
      <c r="AP7" s="478"/>
      <c r="AQ7" s="478"/>
      <c r="AR7" s="478"/>
      <c r="AS7" s="495" t="s">
        <v>928</v>
      </c>
      <c r="AT7" s="495"/>
      <c r="AU7" s="495"/>
      <c r="AV7" s="495"/>
      <c r="AW7" s="495"/>
      <c r="AX7" s="495"/>
      <c r="AY7" s="495"/>
      <c r="AZ7" s="495"/>
      <c r="BA7" s="495"/>
    </row>
    <row r="8" spans="1:53" s="254" customFormat="1" ht="41.25" customHeight="1" x14ac:dyDescent="0.2">
      <c r="A8" s="465"/>
      <c r="B8" s="467" t="s">
        <v>689</v>
      </c>
      <c r="C8" s="469" t="s">
        <v>690</v>
      </c>
      <c r="D8" s="467" t="s">
        <v>691</v>
      </c>
      <c r="E8" s="467"/>
      <c r="F8" s="467" t="s">
        <v>692</v>
      </c>
      <c r="G8" s="467" t="s">
        <v>693</v>
      </c>
      <c r="H8" s="467" t="s">
        <v>41</v>
      </c>
      <c r="I8" s="467" t="s">
        <v>694</v>
      </c>
      <c r="J8" s="467" t="s">
        <v>695</v>
      </c>
      <c r="K8" s="468" t="s">
        <v>696</v>
      </c>
      <c r="L8" s="467" t="s">
        <v>55</v>
      </c>
      <c r="M8" s="467" t="s">
        <v>697</v>
      </c>
      <c r="N8" s="467"/>
      <c r="O8" s="467" t="s">
        <v>698</v>
      </c>
      <c r="P8" s="468" t="s">
        <v>699</v>
      </c>
      <c r="Q8" s="468" t="s">
        <v>700</v>
      </c>
      <c r="R8" s="468" t="s">
        <v>701</v>
      </c>
      <c r="S8" s="468" t="s">
        <v>702</v>
      </c>
      <c r="T8" s="468"/>
      <c r="U8" s="468"/>
      <c r="V8" s="468"/>
      <c r="W8" s="468"/>
      <c r="X8" s="468"/>
      <c r="Y8" s="468"/>
      <c r="Z8" s="468"/>
      <c r="AA8" s="468"/>
      <c r="AB8" s="468"/>
      <c r="AC8" s="468"/>
      <c r="AD8" s="468"/>
      <c r="AE8" s="468"/>
      <c r="AF8" s="468"/>
      <c r="AG8" s="490" t="s">
        <v>703</v>
      </c>
      <c r="AH8" s="491" t="s">
        <v>704</v>
      </c>
      <c r="AI8" s="469" t="s">
        <v>705</v>
      </c>
      <c r="AJ8" s="467" t="s">
        <v>706</v>
      </c>
      <c r="AK8" s="467" t="s">
        <v>707</v>
      </c>
      <c r="AL8" s="467"/>
      <c r="AM8" s="467" t="s">
        <v>708</v>
      </c>
      <c r="AN8" s="467" t="s">
        <v>709</v>
      </c>
      <c r="AO8" s="467" t="s">
        <v>710</v>
      </c>
      <c r="AP8" s="467" t="s">
        <v>5</v>
      </c>
      <c r="AQ8" s="467" t="s">
        <v>711</v>
      </c>
      <c r="AR8" s="467" t="s">
        <v>13</v>
      </c>
      <c r="AS8" s="497" t="s">
        <v>931</v>
      </c>
      <c r="AT8" s="497"/>
      <c r="AU8" s="494" t="s">
        <v>932</v>
      </c>
      <c r="AV8" s="494"/>
      <c r="AW8" s="494"/>
      <c r="AX8" s="494" t="s">
        <v>936</v>
      </c>
      <c r="AY8" s="494"/>
      <c r="AZ8" s="494"/>
      <c r="BA8" s="494"/>
    </row>
    <row r="9" spans="1:53" s="254" customFormat="1" ht="51" customHeight="1" x14ac:dyDescent="0.2">
      <c r="A9" s="465"/>
      <c r="B9" s="467" t="s">
        <v>712</v>
      </c>
      <c r="C9" s="469"/>
      <c r="D9" s="256" t="s">
        <v>713</v>
      </c>
      <c r="E9" s="256" t="s">
        <v>714</v>
      </c>
      <c r="F9" s="467"/>
      <c r="G9" s="467"/>
      <c r="H9" s="467"/>
      <c r="I9" s="467"/>
      <c r="J9" s="467"/>
      <c r="K9" s="468"/>
      <c r="L9" s="467"/>
      <c r="M9" s="467"/>
      <c r="N9" s="467"/>
      <c r="O9" s="467"/>
      <c r="P9" s="468"/>
      <c r="Q9" s="468"/>
      <c r="R9" s="468"/>
      <c r="S9" s="468" t="s">
        <v>715</v>
      </c>
      <c r="T9" s="468"/>
      <c r="U9" s="468" t="s">
        <v>716</v>
      </c>
      <c r="V9" s="468"/>
      <c r="W9" s="468" t="s">
        <v>717</v>
      </c>
      <c r="X9" s="468"/>
      <c r="Y9" s="468" t="s">
        <v>718</v>
      </c>
      <c r="Z9" s="468"/>
      <c r="AA9" s="468" t="s">
        <v>719</v>
      </c>
      <c r="AB9" s="468"/>
      <c r="AC9" s="468" t="s">
        <v>720</v>
      </c>
      <c r="AD9" s="468"/>
      <c r="AE9" s="468" t="s">
        <v>721</v>
      </c>
      <c r="AF9" s="468"/>
      <c r="AG9" s="490"/>
      <c r="AH9" s="491"/>
      <c r="AI9" s="469"/>
      <c r="AJ9" s="467"/>
      <c r="AK9" s="467"/>
      <c r="AL9" s="467"/>
      <c r="AM9" s="467"/>
      <c r="AN9" s="467"/>
      <c r="AO9" s="467"/>
      <c r="AP9" s="467"/>
      <c r="AQ9" s="467"/>
      <c r="AR9" s="467"/>
      <c r="AS9" s="312" t="s">
        <v>929</v>
      </c>
      <c r="AT9" s="312" t="s">
        <v>930</v>
      </c>
      <c r="AU9" s="312" t="s">
        <v>933</v>
      </c>
      <c r="AV9" s="312" t="s">
        <v>934</v>
      </c>
      <c r="AW9" s="311" t="s">
        <v>935</v>
      </c>
      <c r="AX9" s="312" t="s">
        <v>677</v>
      </c>
      <c r="AY9" s="312" t="s">
        <v>678</v>
      </c>
      <c r="AZ9" s="312" t="s">
        <v>494</v>
      </c>
      <c r="BA9" s="312" t="s">
        <v>495</v>
      </c>
    </row>
    <row r="10" spans="1:53" ht="202.5" x14ac:dyDescent="0.25">
      <c r="A10" s="260" t="s">
        <v>722</v>
      </c>
      <c r="B10" s="276">
        <v>1</v>
      </c>
      <c r="C10" s="262"/>
      <c r="D10" s="263" t="s">
        <v>724</v>
      </c>
      <c r="E10" s="263"/>
      <c r="F10" s="263" t="s">
        <v>779</v>
      </c>
      <c r="G10" s="257" t="s">
        <v>854</v>
      </c>
      <c r="H10" s="285" t="s">
        <v>855</v>
      </c>
      <c r="I10" s="278" t="s">
        <v>856</v>
      </c>
      <c r="J10" s="257" t="s">
        <v>727</v>
      </c>
      <c r="K10" s="264">
        <v>3</v>
      </c>
      <c r="L10" s="263">
        <v>4</v>
      </c>
      <c r="M10" s="265">
        <f>K10*L10</f>
        <v>12</v>
      </c>
      <c r="N10" s="266" t="str">
        <f>IF(AND(K10=1,L10=1),"BAJO",IF(AND(K10=1,L10=2),"BAJO",IF(AND(K10=2,L10=1),"BAJO",IF(AND(K10=2,L10=2),"BAJO",IF(AND(K10=3,L10=1),"BAJO",IF(AND(K10=1,L10=3),"MODERADO",IF(AND(K10=2,L10=3),"MODERADO",IF(AND(K10=3,L10=2),"MODERADO",IF(AND(K10=4,L10=1),"MODERADO",IF(AND(K10=5,L10=1),"ALTO",IF(AND(K10=4,L10=2),"ALTO",IF(AND(K10=3,L10=3),"ALTO",IF(AND(K10=2,L10=4),"ALTO",IF(AND(K10=1,L10=4),"ALTO",IF(AND(K10=5,L10=2),"ALTO",IF(AND(K10=4,L10=3),"ALTO","EXTREMO"))))))))))))))))</f>
        <v>EXTREMO</v>
      </c>
      <c r="O10" s="267" t="s">
        <v>857</v>
      </c>
      <c r="P10" s="276" t="s">
        <v>729</v>
      </c>
      <c r="Q10" s="279" t="s">
        <v>730</v>
      </c>
      <c r="R10" s="279" t="s">
        <v>730</v>
      </c>
      <c r="S10" s="269" t="s">
        <v>732</v>
      </c>
      <c r="T10" s="280">
        <f>IF(S10="Asignado",[1]Listas!$C$30,[1]Listas!$C$31)</f>
        <v>15</v>
      </c>
      <c r="U10" s="269" t="s">
        <v>733</v>
      </c>
      <c r="V10" s="280">
        <f>IF(U10="Adecuado",[1]Listas!$C$32,[1]Listas!$C$33)</f>
        <v>15</v>
      </c>
      <c r="W10" s="269" t="s">
        <v>734</v>
      </c>
      <c r="X10" s="280">
        <f>IF(W10="Oportuna",[1]Listas!$C$34,[1]Listas!$C$35)</f>
        <v>15</v>
      </c>
      <c r="Y10" s="269" t="s">
        <v>735</v>
      </c>
      <c r="Z10" s="280">
        <f>IF(Y10="Prevenir",[1]Listas!$C$36,IF(Y10="Detectar",[1]Listas!$C$37,[1]Listas!$C$38))</f>
        <v>15</v>
      </c>
      <c r="AA10" s="269" t="s">
        <v>736</v>
      </c>
      <c r="AB10" s="280">
        <f>IF(AA10="Confiable",[1]Listas!$C$39,[1]Listas!$C$40)</f>
        <v>15</v>
      </c>
      <c r="AC10" s="269" t="s">
        <v>737</v>
      </c>
      <c r="AD10" s="280">
        <f>IF(AC10="Se investigan y resuelven oportunamente",[1]Listas!$C$41,[1]Listas!$C$42)</f>
        <v>15</v>
      </c>
      <c r="AE10" s="269" t="s">
        <v>738</v>
      </c>
      <c r="AF10" s="280">
        <f>IF(AE10="Completa",[1]Listas!$C$43,IF(AE10="Incompleta",[1]Listas!$C$44,[1]Listas!$C$45))</f>
        <v>10</v>
      </c>
      <c r="AG10" s="276">
        <f>T10+V10+X10+Z10+AB10+AD10+AF10</f>
        <v>100</v>
      </c>
      <c r="AH10" s="263">
        <f>AVERAGE(AG10:AG10)</f>
        <v>100</v>
      </c>
      <c r="AI10" s="264">
        <v>1</v>
      </c>
      <c r="AJ10" s="263">
        <v>3</v>
      </c>
      <c r="AK10" s="265">
        <f>AI10*AJ10</f>
        <v>3</v>
      </c>
      <c r="AL10" s="271" t="str">
        <f>IF(AND(AI10=1,AJ10=1),"BAJO",IF(AND(AI10=1,AJ10=2),"BAJO",IF(AND(AI10=2,AJ10=1),"BAJO",IF(AND(AI10=2,AJ10=2),"BAJO",IF(AND(AI10=3,AJ10=1),"BAJO",IF(AND(AI10=1,AJ10=3),"MODERADO",IF(AND(AI10=2,AJ10=3),"MODERADO",IF(AND(AI10=3,AJ10=2),"MODERADO",IF(AND(AI10=4,AJ10=1),"MODERADO",IF(AND(AI10=5,AJ10=1),"ALTO",IF(AND(AI10=4,AJ10=2),"ALTO",IF(AND(AI10=3,AJ10=3),"ALTO",IF(AND(AI10=2,AJ10=4),"ALTO",IF(AND(AI10=1,AJ10=4),"ALTO",IF(AND(AI10=5,AJ10=2),"ALTO",IF(AND(AI10=4,AJ10=3),"ALTO","EXTREMO"))))))))))))))))</f>
        <v>MODERADO</v>
      </c>
      <c r="AM10" s="269" t="s">
        <v>858</v>
      </c>
      <c r="AN10" s="272" t="s">
        <v>859</v>
      </c>
      <c r="AO10" s="272" t="s">
        <v>860</v>
      </c>
      <c r="AP10" s="272" t="s">
        <v>861</v>
      </c>
      <c r="AQ10" s="273" t="s">
        <v>862</v>
      </c>
      <c r="AR10" s="272" t="s">
        <v>863</v>
      </c>
      <c r="AS10" s="120"/>
      <c r="AT10" s="125" t="s">
        <v>937</v>
      </c>
      <c r="AU10" s="125" t="s">
        <v>937</v>
      </c>
      <c r="AV10" s="124" t="s">
        <v>975</v>
      </c>
      <c r="AW10" s="125" t="s">
        <v>929</v>
      </c>
      <c r="AX10" s="125">
        <v>0</v>
      </c>
      <c r="AY10" s="125">
        <v>0</v>
      </c>
      <c r="AZ10" s="314" t="s">
        <v>976</v>
      </c>
      <c r="BA10" s="125" t="s">
        <v>977</v>
      </c>
    </row>
    <row r="11" spans="1:53" ht="105" x14ac:dyDescent="0.25">
      <c r="A11" s="260" t="s">
        <v>96</v>
      </c>
      <c r="B11" s="276">
        <v>1</v>
      </c>
      <c r="C11" s="262"/>
      <c r="D11" s="279"/>
      <c r="E11" s="279" t="s">
        <v>778</v>
      </c>
      <c r="F11" s="278" t="s">
        <v>864</v>
      </c>
      <c r="G11" s="274" t="s">
        <v>865</v>
      </c>
      <c r="H11" s="275" t="s">
        <v>866</v>
      </c>
      <c r="I11" s="275" t="s">
        <v>867</v>
      </c>
      <c r="J11" s="257" t="s">
        <v>727</v>
      </c>
      <c r="K11" s="264">
        <v>3</v>
      </c>
      <c r="L11" s="263">
        <v>4</v>
      </c>
      <c r="M11" s="265">
        <f>K11*L11</f>
        <v>12</v>
      </c>
      <c r="N11" s="266" t="str">
        <f>IF(AND(K11=1,L11=1),"BAJO",IF(AND(K11=1,L11=2),"BAJO",IF(AND(K11=2,L11=1),"BAJO",IF(AND(K11=2,L11=2),"BAJO",IF(AND(K11=3,L11=1),"BAJO",IF(AND(K11=1,L11=3),"MODERADO",IF(AND(K11=2,L11=3),"MODERADO",IF(AND(K11=3,L11=2),"MODERADO",IF(AND(K11=4,L11=1),"MODERADO",IF(AND(K11=5,L11=1),"ALTO",IF(AND(K11=4,L11=2),"ALTO",IF(AND(K11=3,L11=3),"ALTO",IF(AND(K11=2,L11=4),"ALTO",IF(AND(K11=1,L11=4),"ALTO",IF(AND(K11=5,L11=2),"ALTO",IF(AND(K11=4,L11=3),"ALTO","EXTREMO"))))))))))))))))</f>
        <v>EXTREMO</v>
      </c>
      <c r="O11" s="272" t="s">
        <v>868</v>
      </c>
      <c r="P11" s="276" t="s">
        <v>729</v>
      </c>
      <c r="Q11" s="279" t="s">
        <v>730</v>
      </c>
      <c r="R11" s="279" t="s">
        <v>730</v>
      </c>
      <c r="S11" s="269" t="s">
        <v>732</v>
      </c>
      <c r="T11" s="280">
        <f>IF(S11="Asignado",[2]Listas!$C$30,[2]Listas!$C$31)</f>
        <v>15</v>
      </c>
      <c r="U11" s="269" t="s">
        <v>733</v>
      </c>
      <c r="V11" s="280">
        <f>IF(U11="Adecuado",[2]Listas!$C$32,[2]Listas!$C$33)</f>
        <v>15</v>
      </c>
      <c r="W11" s="269" t="s">
        <v>734</v>
      </c>
      <c r="X11" s="280">
        <f>IF(W11="Oportuna",[2]Listas!$C$34,[2]Listas!$C$35)</f>
        <v>15</v>
      </c>
      <c r="Y11" s="269" t="s">
        <v>808</v>
      </c>
      <c r="Z11" s="280">
        <f>IF(Y11="Prevenir",[2]Listas!$C$36,IF(Y11="Detectar",[2]Listas!$C$37,[2]Listas!$C$38))</f>
        <v>10</v>
      </c>
      <c r="AA11" s="269" t="s">
        <v>736</v>
      </c>
      <c r="AB11" s="280">
        <f>IF(AA11="Confiable",[2]Listas!$C$39,[2]Listas!$C$40)</f>
        <v>15</v>
      </c>
      <c r="AC11" s="269" t="s">
        <v>737</v>
      </c>
      <c r="AD11" s="280">
        <f>IF(AC11="Se investigan y resuelven oportunamente",[2]Listas!$C$41,[2]Listas!$C$42)</f>
        <v>15</v>
      </c>
      <c r="AE11" s="269" t="s">
        <v>738</v>
      </c>
      <c r="AF11" s="280">
        <f>IF(AE11="Completa",[2]Listas!$C$43,IF(AE11="Incompleta",[2]Listas!$C$44,[2]Listas!$C$45))</f>
        <v>10</v>
      </c>
      <c r="AG11" s="276">
        <f>T11+V11+X11+Z11+AB11+AD11+AF11</f>
        <v>95</v>
      </c>
      <c r="AH11" s="263">
        <f>AVERAGE(AG11:AG11)</f>
        <v>95</v>
      </c>
      <c r="AI11" s="264">
        <v>2</v>
      </c>
      <c r="AJ11" s="263">
        <v>3</v>
      </c>
      <c r="AK11" s="265">
        <f>AI11*AJ11</f>
        <v>6</v>
      </c>
      <c r="AL11" s="271" t="str">
        <f>IF(AND(AI11=1,AJ11=1),"BAJO",IF(AND(AI11=1,AJ11=2),"BAJO",IF(AND(AI11=2,AJ11=1),"BAJO",IF(AND(AI11=2,AJ11=2),"BAJO",IF(AND(AI11=3,AJ11=1),"BAJO",IF(AND(AI11=1,AJ11=3),"MODERADO",IF(AND(AI11=2,AJ11=3),"MODERADO",IF(AND(AI11=3,AJ11=2),"MODERADO",IF(AND(AI11=4,AJ11=1),"MODERADO",IF(AND(AI11=5,AJ11=1),"ALTO",IF(AND(AI11=4,AJ11=2),"ALTO",IF(AND(AI11=3,AJ11=3),"ALTO",IF(AND(AI11=2,AJ11=4),"ALTO",IF(AND(AI11=1,AJ11=4),"ALTO",IF(AND(AI11=5,AJ11=2),"ALTO",IF(AND(AI11=4,AJ11=3),"ALTO","EXTREMO"))))))))))))))))</f>
        <v>MODERADO</v>
      </c>
      <c r="AM11" s="269" t="s">
        <v>785</v>
      </c>
      <c r="AN11" s="272" t="s">
        <v>869</v>
      </c>
      <c r="AO11" s="272" t="s">
        <v>870</v>
      </c>
      <c r="AP11" s="272" t="s">
        <v>871</v>
      </c>
      <c r="AQ11" s="273" t="s">
        <v>872</v>
      </c>
      <c r="AR11" s="272" t="s">
        <v>873</v>
      </c>
      <c r="AS11" s="120"/>
      <c r="AT11" s="120" t="s">
        <v>937</v>
      </c>
      <c r="AU11" s="120" t="s">
        <v>929</v>
      </c>
      <c r="AV11" s="338" t="s">
        <v>1015</v>
      </c>
      <c r="AW11" s="122" t="s">
        <v>1016</v>
      </c>
      <c r="AX11" s="120">
        <v>33</v>
      </c>
      <c r="AY11" s="120">
        <v>66</v>
      </c>
      <c r="AZ11" s="122" t="s">
        <v>1017</v>
      </c>
      <c r="BA11" s="122" t="s">
        <v>1018</v>
      </c>
    </row>
    <row r="12" spans="1:53" ht="105" x14ac:dyDescent="0.25">
      <c r="A12" s="457" t="s">
        <v>767</v>
      </c>
      <c r="B12" s="440">
        <v>4</v>
      </c>
      <c r="C12" s="277"/>
      <c r="D12" s="279" t="s">
        <v>724</v>
      </c>
      <c r="E12" s="279"/>
      <c r="F12" s="279"/>
      <c r="G12" s="267" t="s">
        <v>725</v>
      </c>
      <c r="H12" s="455" t="s">
        <v>128</v>
      </c>
      <c r="I12" s="455" t="s">
        <v>726</v>
      </c>
      <c r="J12" s="443" t="s">
        <v>727</v>
      </c>
      <c r="K12" s="441">
        <v>3</v>
      </c>
      <c r="L12" s="440">
        <v>5</v>
      </c>
      <c r="M12" s="438">
        <f t="shared" ref="M12" si="0">K12*L12</f>
        <v>15</v>
      </c>
      <c r="N12" s="445" t="str">
        <f t="shared" ref="N12" si="1">IF(AND(K12=1,L12=1),"BAJO",IF(AND(K12=1,L12=2),"BAJO",IF(AND(K12=2,L12=1),"BAJO",IF(AND(K12=2,L12=2),"BAJO",IF(AND(K12=3,L12=1),"BAJO",IF(AND(K12=1,L12=3),"MODERADO",IF(AND(K12=2,L12=3),"MODERADO",IF(AND(K12=3,L12=2),"MODERADO",IF(AND(K12=4,L12=1),"MODERADO",IF(AND(K12=5,L12=1),"ALTO",IF(AND(K12=4,L12=2),"ALTO",IF(AND(K12=3,L12=3),"ALTO",IF(AND(K12=2,L12=4),"ALTO",IF(AND(K12=1,L12=4),"ALTO",IF(AND(K12=5,L12=2),"ALTO",IF(AND(K12=4,L12=3),"ALTO","EXTREMO"))))))))))))))))</f>
        <v>EXTREMO</v>
      </c>
      <c r="O12" s="457" t="s">
        <v>728</v>
      </c>
      <c r="P12" s="440" t="s">
        <v>729</v>
      </c>
      <c r="Q12" s="436" t="s">
        <v>730</v>
      </c>
      <c r="R12" s="436" t="s">
        <v>731</v>
      </c>
      <c r="S12" s="433" t="s">
        <v>732</v>
      </c>
      <c r="T12" s="433">
        <f>IF(S12="Asignado",[3]Listas!$C$30,[3]Listas!$C$31)</f>
        <v>15</v>
      </c>
      <c r="U12" s="433" t="s">
        <v>733</v>
      </c>
      <c r="V12" s="433">
        <f>IF(U12="Adecuado",[3]Listas!$C$32,[3]Listas!$C$33)</f>
        <v>15</v>
      </c>
      <c r="W12" s="433" t="s">
        <v>734</v>
      </c>
      <c r="X12" s="433">
        <f>IF(W12="Oportuna",[3]Listas!$C$34,[3]Listas!$C$35)</f>
        <v>15</v>
      </c>
      <c r="Y12" s="433" t="s">
        <v>735</v>
      </c>
      <c r="Z12" s="433">
        <f>IF(Y12="Prevenir",[3]Listas!$C$36,IF(Y12="Detectar",[3]Listas!$C$37,[3]Listas!$C$38))</f>
        <v>15</v>
      </c>
      <c r="AA12" s="433" t="s">
        <v>736</v>
      </c>
      <c r="AB12" s="433">
        <f>IF(AA12="Confiable",[3]Listas!$C$39,[3]Listas!$C$40)</f>
        <v>15</v>
      </c>
      <c r="AC12" s="433" t="s">
        <v>737</v>
      </c>
      <c r="AD12" s="433">
        <f>IF(AC12="Se investigan y resuelven oportunamente",[3]Listas!$C$41,[3]Listas!$C$42)</f>
        <v>15</v>
      </c>
      <c r="AE12" s="433" t="s">
        <v>738</v>
      </c>
      <c r="AF12" s="433">
        <f>IF(AE12="Completa",[3]Listas!$C$43,IF(AE12="Incompleta",[3]Listas!$C$44,[3]Listas!$C$45))</f>
        <v>10</v>
      </c>
      <c r="AG12" s="440">
        <f t="shared" ref="AG12:AG16" si="2">T12+V12+X12+Z12+AB12+AD12+AF12</f>
        <v>100</v>
      </c>
      <c r="AH12" s="440">
        <f>AVERAGE(AG12:AG14)</f>
        <v>100</v>
      </c>
      <c r="AI12" s="441">
        <v>1</v>
      </c>
      <c r="AJ12" s="440">
        <v>5</v>
      </c>
      <c r="AK12" s="438">
        <f>+AI12*AJ12</f>
        <v>5</v>
      </c>
      <c r="AL12" s="445" t="str">
        <f>IF(AND(AI12=1,AJ12=1),"BAJO",IF(AND(AI12=1,AJ12=2),"BAJO",IF(AND(AI12=2,AJ12=1),"BAJO",IF(AND(AI12=2,AJ12=2),"BAJO",IF(AND(AI12=3,AJ12=1),"BAJO",IF(AND(AI12=1,AJ12=3),"MODERADO",IF(AND(AI12=2,AJ12=3),"MODERADO",IF(AND(AI12=3,AJ12=2),"MODERADO",IF(AND(AI12=4,AJ12=1),"MODERADO",IF(AND(AI12=5,AJ12=1),"ALTO",IF(AND(AI12=4,AJ12=2),"ALTO",IF(AND(AI12=3,AJ12=3),"ALTO",IF(AND(AI12=2,AJ12=4),"ALTO",IF(AND(AI12=1,AJ12=4),"ALTO",IF(AND(AI12=5,AJ12=2),"ALTO",IF(AND(AI12=4,AJ12=3),"ALTO","EXTREMO"))))))))))))))))</f>
        <v>EXTREMO</v>
      </c>
      <c r="AM12" s="433" t="s">
        <v>739</v>
      </c>
      <c r="AN12" s="459" t="s">
        <v>740</v>
      </c>
      <c r="AO12" s="459" t="s">
        <v>741</v>
      </c>
      <c r="AP12" s="459" t="s">
        <v>742</v>
      </c>
      <c r="AQ12" s="459" t="s">
        <v>743</v>
      </c>
      <c r="AR12" s="460" t="s">
        <v>744</v>
      </c>
      <c r="AS12" s="120"/>
      <c r="AT12" s="125" t="s">
        <v>1029</v>
      </c>
      <c r="AU12" s="125" t="s">
        <v>929</v>
      </c>
      <c r="AV12" s="314" t="s">
        <v>1030</v>
      </c>
      <c r="AW12" s="314" t="s">
        <v>1031</v>
      </c>
      <c r="AX12" s="120"/>
      <c r="AY12" s="120"/>
      <c r="AZ12" s="314" t="s">
        <v>1032</v>
      </c>
      <c r="BA12" s="314" t="s">
        <v>1033</v>
      </c>
    </row>
    <row r="13" spans="1:53" ht="40.5" x14ac:dyDescent="0.25">
      <c r="A13" s="457"/>
      <c r="B13" s="440"/>
      <c r="C13" s="277"/>
      <c r="D13" s="279" t="s">
        <v>745</v>
      </c>
      <c r="E13" s="279"/>
      <c r="F13" s="279"/>
      <c r="G13" s="267" t="s">
        <v>746</v>
      </c>
      <c r="H13" s="455"/>
      <c r="I13" s="455"/>
      <c r="J13" s="443"/>
      <c r="K13" s="441"/>
      <c r="L13" s="440"/>
      <c r="M13" s="438"/>
      <c r="N13" s="445"/>
      <c r="O13" s="457"/>
      <c r="P13" s="440"/>
      <c r="Q13" s="436"/>
      <c r="R13" s="436"/>
      <c r="S13" s="433"/>
      <c r="T13" s="433"/>
      <c r="U13" s="433"/>
      <c r="V13" s="433"/>
      <c r="W13" s="433"/>
      <c r="X13" s="433"/>
      <c r="Y13" s="433"/>
      <c r="Z13" s="433"/>
      <c r="AA13" s="433"/>
      <c r="AB13" s="433"/>
      <c r="AC13" s="433"/>
      <c r="AD13" s="433"/>
      <c r="AE13" s="433"/>
      <c r="AF13" s="433"/>
      <c r="AG13" s="440"/>
      <c r="AH13" s="440"/>
      <c r="AI13" s="441"/>
      <c r="AJ13" s="440"/>
      <c r="AK13" s="438"/>
      <c r="AL13" s="445"/>
      <c r="AM13" s="433"/>
      <c r="AN13" s="459"/>
      <c r="AO13" s="459"/>
      <c r="AP13" s="459"/>
      <c r="AQ13" s="459"/>
      <c r="AR13" s="460"/>
      <c r="AS13" s="120"/>
      <c r="AT13" s="120"/>
      <c r="AU13" s="120"/>
      <c r="AV13" s="120"/>
      <c r="AW13" s="120"/>
      <c r="AX13" s="120"/>
      <c r="AY13" s="120"/>
      <c r="AZ13" s="120"/>
      <c r="BA13" s="120"/>
    </row>
    <row r="14" spans="1:53" ht="94.5" x14ac:dyDescent="0.25">
      <c r="A14" s="457"/>
      <c r="B14" s="440"/>
      <c r="C14" s="277"/>
      <c r="D14" s="279" t="s">
        <v>745</v>
      </c>
      <c r="E14" s="279"/>
      <c r="F14" s="279"/>
      <c r="G14" s="267" t="s">
        <v>747</v>
      </c>
      <c r="H14" s="455"/>
      <c r="I14" s="455"/>
      <c r="J14" s="443"/>
      <c r="K14" s="441"/>
      <c r="L14" s="440"/>
      <c r="M14" s="438"/>
      <c r="N14" s="445"/>
      <c r="O14" s="457"/>
      <c r="P14" s="440"/>
      <c r="Q14" s="436"/>
      <c r="R14" s="436"/>
      <c r="S14" s="433"/>
      <c r="T14" s="433"/>
      <c r="U14" s="433"/>
      <c r="V14" s="433"/>
      <c r="W14" s="433"/>
      <c r="X14" s="433"/>
      <c r="Y14" s="433"/>
      <c r="Z14" s="433"/>
      <c r="AA14" s="433"/>
      <c r="AB14" s="433"/>
      <c r="AC14" s="433"/>
      <c r="AD14" s="433"/>
      <c r="AE14" s="433"/>
      <c r="AF14" s="433"/>
      <c r="AG14" s="440"/>
      <c r="AH14" s="440"/>
      <c r="AI14" s="441"/>
      <c r="AJ14" s="440"/>
      <c r="AK14" s="438"/>
      <c r="AL14" s="445"/>
      <c r="AM14" s="433"/>
      <c r="AN14" s="459"/>
      <c r="AO14" s="459"/>
      <c r="AP14" s="459"/>
      <c r="AQ14" s="459"/>
      <c r="AR14" s="460"/>
      <c r="AS14" s="120"/>
      <c r="AT14" s="120"/>
      <c r="AU14" s="120"/>
      <c r="AV14" s="120"/>
      <c r="AW14" s="120"/>
      <c r="AX14" s="120"/>
      <c r="AY14" s="120"/>
      <c r="AZ14" s="120"/>
      <c r="BA14" s="120"/>
    </row>
    <row r="15" spans="1:53" ht="148.5" x14ac:dyDescent="0.25">
      <c r="A15" s="457"/>
      <c r="B15" s="276">
        <v>5</v>
      </c>
      <c r="C15" s="277"/>
      <c r="D15" s="279" t="s">
        <v>745</v>
      </c>
      <c r="E15" s="279"/>
      <c r="F15" s="279"/>
      <c r="G15" s="274" t="s">
        <v>748</v>
      </c>
      <c r="H15" s="274" t="s">
        <v>137</v>
      </c>
      <c r="I15" s="275" t="s">
        <v>749</v>
      </c>
      <c r="J15" s="281" t="s">
        <v>727</v>
      </c>
      <c r="K15" s="264">
        <v>2</v>
      </c>
      <c r="L15" s="263">
        <v>4</v>
      </c>
      <c r="M15" s="265">
        <f t="shared" ref="M15:M16" si="3">K15*L15</f>
        <v>8</v>
      </c>
      <c r="N15" s="266" t="str">
        <f t="shared" ref="N15:N16" si="4">IF(AND(K15=1,L15=1),"BAJO",IF(AND(K15=1,L15=2),"BAJO",IF(AND(K15=2,L15=1),"BAJO",IF(AND(K15=2,L15=2),"BAJO",IF(AND(K15=3,L15=1),"BAJO",IF(AND(K15=1,L15=3),"MODERADO",IF(AND(K15=2,L15=3),"MODERADO",IF(AND(K15=3,L15=2),"MODERADO",IF(AND(K15=4,L15=1),"MODERADO",IF(AND(K15=5,L15=1),"ALTO",IF(AND(K15=4,L15=2),"ALTO",IF(AND(K15=3,L15=3),"ALTO",IF(AND(K15=2,L15=4),"ALTO",IF(AND(K15=1,L15=4),"ALTO",IF(AND(K15=5,L15=2),"ALTO",IF(AND(K15=4,L15=3),"ALTO","EXTREMO"))))))))))))))))</f>
        <v>ALTO</v>
      </c>
      <c r="O15" s="267" t="s">
        <v>750</v>
      </c>
      <c r="P15" s="276" t="s">
        <v>729</v>
      </c>
      <c r="Q15" s="279" t="s">
        <v>730</v>
      </c>
      <c r="R15" s="279" t="s">
        <v>731</v>
      </c>
      <c r="S15" s="269" t="s">
        <v>732</v>
      </c>
      <c r="T15" s="280">
        <f>IF(S15="Asignado",[3]Listas!$C$30,[3]Listas!$C$31)</f>
        <v>15</v>
      </c>
      <c r="U15" s="269" t="s">
        <v>733</v>
      </c>
      <c r="V15" s="280">
        <f>IF(U15="Adecuado",[3]Listas!$C$32,[3]Listas!$C$33)</f>
        <v>15</v>
      </c>
      <c r="W15" s="269" t="s">
        <v>734</v>
      </c>
      <c r="X15" s="280">
        <f>IF(W15="Oportuna",[3]Listas!$C$34,[3]Listas!$C$35)</f>
        <v>15</v>
      </c>
      <c r="Y15" s="269" t="s">
        <v>735</v>
      </c>
      <c r="Z15" s="280">
        <f>IF(Y15="Prevenir",[3]Listas!$C$36,IF(Y15="Detectar",[3]Listas!$C$37,[3]Listas!$C$38))</f>
        <v>15</v>
      </c>
      <c r="AA15" s="269" t="s">
        <v>736</v>
      </c>
      <c r="AB15" s="280">
        <f>IF(AA15="Confiable",[3]Listas!$C$39,[3]Listas!$C$40)</f>
        <v>15</v>
      </c>
      <c r="AC15" s="269" t="s">
        <v>737</v>
      </c>
      <c r="AD15" s="280">
        <f>IF(AC15="Se investigan y resuelven oportunamente",[3]Listas!$C$41,[3]Listas!$C$42)</f>
        <v>15</v>
      </c>
      <c r="AE15" s="269" t="s">
        <v>738</v>
      </c>
      <c r="AF15" s="280">
        <f>IF(AE15="Completa",[3]Listas!$C$43,IF(AE15="Incompleta",[3]Listas!$C$44,[3]Listas!$C$45))</f>
        <v>10</v>
      </c>
      <c r="AG15" s="276">
        <f t="shared" si="2"/>
        <v>100</v>
      </c>
      <c r="AH15" s="263">
        <v>100</v>
      </c>
      <c r="AI15" s="264">
        <v>1</v>
      </c>
      <c r="AJ15" s="263">
        <v>5</v>
      </c>
      <c r="AK15" s="265"/>
      <c r="AL15" s="282" t="s">
        <v>751</v>
      </c>
      <c r="AM15" s="309" t="s">
        <v>739</v>
      </c>
      <c r="AN15" s="284" t="s">
        <v>752</v>
      </c>
      <c r="AO15" s="284" t="s">
        <v>753</v>
      </c>
      <c r="AP15" s="284" t="s">
        <v>754</v>
      </c>
      <c r="AQ15" s="284" t="s">
        <v>755</v>
      </c>
      <c r="AR15" s="284" t="s">
        <v>756</v>
      </c>
      <c r="AS15" s="120"/>
      <c r="AT15" s="314" t="s">
        <v>937</v>
      </c>
      <c r="AU15" s="314" t="s">
        <v>929</v>
      </c>
      <c r="AV15" s="314" t="s">
        <v>1034</v>
      </c>
      <c r="AW15" s="314" t="s">
        <v>1035</v>
      </c>
      <c r="AX15" s="357">
        <v>50</v>
      </c>
      <c r="AY15" s="358">
        <v>50</v>
      </c>
      <c r="AZ15" s="371" t="s">
        <v>282</v>
      </c>
      <c r="BA15" s="371" t="s">
        <v>283</v>
      </c>
    </row>
    <row r="16" spans="1:53" ht="67.5" customHeight="1" x14ac:dyDescent="0.25">
      <c r="A16" s="457"/>
      <c r="B16" s="440">
        <v>6</v>
      </c>
      <c r="C16" s="277"/>
      <c r="D16" s="279" t="s">
        <v>745</v>
      </c>
      <c r="E16" s="279"/>
      <c r="F16" s="279"/>
      <c r="G16" s="274" t="s">
        <v>757</v>
      </c>
      <c r="H16" s="461" t="s">
        <v>758</v>
      </c>
      <c r="I16" s="455" t="s">
        <v>726</v>
      </c>
      <c r="J16" s="454" t="s">
        <v>727</v>
      </c>
      <c r="K16" s="441">
        <v>2</v>
      </c>
      <c r="L16" s="440">
        <v>4</v>
      </c>
      <c r="M16" s="438">
        <f t="shared" si="3"/>
        <v>8</v>
      </c>
      <c r="N16" s="445" t="str">
        <f t="shared" si="4"/>
        <v>ALTO</v>
      </c>
      <c r="O16" s="462" t="s">
        <v>759</v>
      </c>
      <c r="P16" s="440" t="s">
        <v>729</v>
      </c>
      <c r="Q16" s="436" t="s">
        <v>730</v>
      </c>
      <c r="R16" s="436" t="s">
        <v>731</v>
      </c>
      <c r="S16" s="433" t="s">
        <v>732</v>
      </c>
      <c r="T16" s="433">
        <f>IF(S16="Asignado",[3]Listas!$C$30,[3]Listas!$C$31)</f>
        <v>15</v>
      </c>
      <c r="U16" s="433" t="s">
        <v>733</v>
      </c>
      <c r="V16" s="433">
        <f>IF(U16="Adecuado",[3]Listas!$C$32,[3]Listas!$C$33)</f>
        <v>15</v>
      </c>
      <c r="W16" s="433" t="s">
        <v>734</v>
      </c>
      <c r="X16" s="433">
        <f>IF(W16="Oportuna",[3]Listas!$C$34,[3]Listas!$C$35)</f>
        <v>15</v>
      </c>
      <c r="Y16" s="433" t="s">
        <v>735</v>
      </c>
      <c r="Z16" s="433">
        <f>IF(Y16="Prevenir",[3]Listas!$C$36,IF(Y16="Detectar",[3]Listas!$C$37,[3]Listas!$C$38))</f>
        <v>15</v>
      </c>
      <c r="AA16" s="433" t="s">
        <v>736</v>
      </c>
      <c r="AB16" s="433">
        <f>IF(AA16="Confiable",[3]Listas!$C$39,[3]Listas!$C$40)</f>
        <v>15</v>
      </c>
      <c r="AC16" s="433" t="s">
        <v>737</v>
      </c>
      <c r="AD16" s="433">
        <f>IF(AC16="Se investigan y resuelven oportunamente",[3]Listas!$C$41,[3]Listas!$C$42)</f>
        <v>15</v>
      </c>
      <c r="AE16" s="433" t="s">
        <v>738</v>
      </c>
      <c r="AF16" s="433">
        <f>IF(AE16="Completa",[3]Listas!$C$43,IF(AE16="Incompleta",[3]Listas!$C$44,[3]Listas!$C$45))</f>
        <v>10</v>
      </c>
      <c r="AG16" s="440">
        <f t="shared" si="2"/>
        <v>100</v>
      </c>
      <c r="AH16" s="440">
        <v>100</v>
      </c>
      <c r="AI16" s="441">
        <v>1</v>
      </c>
      <c r="AJ16" s="440">
        <v>4</v>
      </c>
      <c r="AK16" s="438">
        <f>AI16*AJ16</f>
        <v>4</v>
      </c>
      <c r="AL16" s="445" t="str">
        <f>IF(AND(AI16=1,AJ16=1),"BAJO",IF(AND(AI16=1,AJ16=2),"BAJO",IF(AND(AI16=2,AJ16=1),"BAJO",IF(AND(AI16=2,AJ16=2),"BAJO",IF(AND(AI16=3,AJ16=1),"BAJO",IF(AND(AI16=1,AJ16=3),"MODERADO",IF(AND(AI16=2,AJ16=3),"MODERADO",IF(AND(AI16=3,AJ16=2),"MODERADO",IF(AND(AI16=4,AJ16=1),"MODERADO",IF(AND(AI16=5,AJ16=1),"ALTO",IF(AND(AI16=4,AJ16=2),"ALTO",IF(AND(AI16=3,AJ16=3),"ALTO",IF(AND(AI16=2,AJ16=4),"ALTO",IF(AND(AI16=1,AJ16=4),"ALTO",IF(AND(AI16=5,AJ16=2),"ALTO",IF(AND(AI16=4,AJ16=3),"ALTO","EXTREMO"))))))))))))))))</f>
        <v>ALTO</v>
      </c>
      <c r="AM16" s="433" t="s">
        <v>739</v>
      </c>
      <c r="AN16" s="436" t="s">
        <v>760</v>
      </c>
      <c r="AO16" s="436" t="s">
        <v>761</v>
      </c>
      <c r="AP16" s="436" t="s">
        <v>754</v>
      </c>
      <c r="AQ16" s="436" t="s">
        <v>762</v>
      </c>
      <c r="AR16" s="436" t="s">
        <v>763</v>
      </c>
      <c r="AS16" s="509"/>
      <c r="AT16" s="500" t="s">
        <v>937</v>
      </c>
      <c r="AU16" s="500" t="s">
        <v>929</v>
      </c>
      <c r="AV16" s="498" t="s">
        <v>1037</v>
      </c>
      <c r="AW16" s="498" t="s">
        <v>1036</v>
      </c>
      <c r="AX16" s="500">
        <v>50</v>
      </c>
      <c r="AY16" s="498">
        <v>50</v>
      </c>
      <c r="AZ16" s="512" t="s">
        <v>282</v>
      </c>
      <c r="BA16" s="512" t="s">
        <v>283</v>
      </c>
    </row>
    <row r="17" spans="1:53" ht="56.25" customHeight="1" x14ac:dyDescent="0.25">
      <c r="A17" s="457"/>
      <c r="B17" s="440"/>
      <c r="C17" s="277"/>
      <c r="D17" s="279" t="s">
        <v>745</v>
      </c>
      <c r="E17" s="279"/>
      <c r="F17" s="279"/>
      <c r="G17" s="303" t="s">
        <v>764</v>
      </c>
      <c r="H17" s="461"/>
      <c r="I17" s="455"/>
      <c r="J17" s="454"/>
      <c r="K17" s="441"/>
      <c r="L17" s="440"/>
      <c r="M17" s="438"/>
      <c r="N17" s="445"/>
      <c r="O17" s="462"/>
      <c r="P17" s="440"/>
      <c r="Q17" s="436"/>
      <c r="R17" s="436"/>
      <c r="S17" s="433"/>
      <c r="T17" s="433"/>
      <c r="U17" s="433"/>
      <c r="V17" s="433"/>
      <c r="W17" s="433"/>
      <c r="X17" s="433"/>
      <c r="Y17" s="433"/>
      <c r="Z17" s="433"/>
      <c r="AA17" s="433"/>
      <c r="AB17" s="433"/>
      <c r="AC17" s="433"/>
      <c r="AD17" s="433"/>
      <c r="AE17" s="433"/>
      <c r="AF17" s="433"/>
      <c r="AG17" s="440"/>
      <c r="AH17" s="440"/>
      <c r="AI17" s="441"/>
      <c r="AJ17" s="440"/>
      <c r="AK17" s="438"/>
      <c r="AL17" s="445"/>
      <c r="AM17" s="433"/>
      <c r="AN17" s="436"/>
      <c r="AO17" s="436"/>
      <c r="AP17" s="436"/>
      <c r="AQ17" s="436"/>
      <c r="AR17" s="436"/>
      <c r="AS17" s="510"/>
      <c r="AT17" s="501"/>
      <c r="AU17" s="501"/>
      <c r="AV17" s="499"/>
      <c r="AW17" s="499"/>
      <c r="AX17" s="501"/>
      <c r="AY17" s="499"/>
      <c r="AZ17" s="499"/>
      <c r="BA17" s="513"/>
    </row>
    <row r="18" spans="1:53" ht="45" customHeight="1" x14ac:dyDescent="0.25">
      <c r="A18" s="457"/>
      <c r="B18" s="440"/>
      <c r="C18" s="269"/>
      <c r="D18" s="279" t="s">
        <v>745</v>
      </c>
      <c r="E18" s="279"/>
      <c r="F18" s="279"/>
      <c r="G18" s="304" t="s">
        <v>765</v>
      </c>
      <c r="H18" s="461"/>
      <c r="I18" s="455"/>
      <c r="J18" s="454"/>
      <c r="K18" s="441"/>
      <c r="L18" s="440"/>
      <c r="M18" s="438"/>
      <c r="N18" s="445"/>
      <c r="O18" s="462"/>
      <c r="P18" s="440"/>
      <c r="Q18" s="436"/>
      <c r="R18" s="436"/>
      <c r="S18" s="433"/>
      <c r="T18" s="433"/>
      <c r="U18" s="433"/>
      <c r="V18" s="433"/>
      <c r="W18" s="433"/>
      <c r="X18" s="433"/>
      <c r="Y18" s="433"/>
      <c r="Z18" s="433"/>
      <c r="AA18" s="433"/>
      <c r="AB18" s="433"/>
      <c r="AC18" s="433"/>
      <c r="AD18" s="433"/>
      <c r="AE18" s="433"/>
      <c r="AF18" s="433"/>
      <c r="AG18" s="440"/>
      <c r="AH18" s="440"/>
      <c r="AI18" s="441"/>
      <c r="AJ18" s="440"/>
      <c r="AK18" s="438"/>
      <c r="AL18" s="445"/>
      <c r="AM18" s="433"/>
      <c r="AN18" s="436"/>
      <c r="AO18" s="436"/>
      <c r="AP18" s="436"/>
      <c r="AQ18" s="436"/>
      <c r="AR18" s="436"/>
      <c r="AS18" s="510"/>
      <c r="AT18" s="501"/>
      <c r="AU18" s="501"/>
      <c r="AV18" s="499"/>
      <c r="AW18" s="499"/>
      <c r="AX18" s="501"/>
      <c r="AY18" s="499"/>
      <c r="AZ18" s="499"/>
      <c r="BA18" s="513"/>
    </row>
    <row r="19" spans="1:53" ht="45" customHeight="1" x14ac:dyDescent="0.25">
      <c r="A19" s="457"/>
      <c r="B19" s="440"/>
      <c r="C19" s="269"/>
      <c r="D19" s="279" t="s">
        <v>745</v>
      </c>
      <c r="E19" s="279"/>
      <c r="F19" s="279"/>
      <c r="G19" s="305" t="s">
        <v>766</v>
      </c>
      <c r="H19" s="461"/>
      <c r="I19" s="455"/>
      <c r="J19" s="454"/>
      <c r="K19" s="441"/>
      <c r="L19" s="440"/>
      <c r="M19" s="438"/>
      <c r="N19" s="445"/>
      <c r="O19" s="462"/>
      <c r="P19" s="440"/>
      <c r="Q19" s="436"/>
      <c r="R19" s="436"/>
      <c r="S19" s="433"/>
      <c r="T19" s="433"/>
      <c r="U19" s="433"/>
      <c r="V19" s="433"/>
      <c r="W19" s="433"/>
      <c r="X19" s="433"/>
      <c r="Y19" s="433"/>
      <c r="Z19" s="433"/>
      <c r="AA19" s="433"/>
      <c r="AB19" s="433"/>
      <c r="AC19" s="433"/>
      <c r="AD19" s="433"/>
      <c r="AE19" s="433"/>
      <c r="AF19" s="433"/>
      <c r="AG19" s="440"/>
      <c r="AH19" s="440"/>
      <c r="AI19" s="441"/>
      <c r="AJ19" s="440"/>
      <c r="AK19" s="438"/>
      <c r="AL19" s="445"/>
      <c r="AM19" s="433"/>
      <c r="AN19" s="436"/>
      <c r="AO19" s="436"/>
      <c r="AP19" s="436"/>
      <c r="AQ19" s="436"/>
      <c r="AR19" s="436"/>
      <c r="AS19" s="511"/>
      <c r="AT19" s="504"/>
      <c r="AU19" s="504"/>
      <c r="AV19" s="505"/>
      <c r="AW19" s="505"/>
      <c r="AX19" s="504"/>
      <c r="AY19" s="505"/>
      <c r="AZ19" s="505"/>
      <c r="BA19" s="514"/>
    </row>
    <row r="20" spans="1:53" ht="48" customHeight="1" x14ac:dyDescent="0.25">
      <c r="A20" s="449" t="s">
        <v>161</v>
      </c>
      <c r="B20" s="440">
        <v>1</v>
      </c>
      <c r="C20" s="277"/>
      <c r="D20" s="279" t="s">
        <v>745</v>
      </c>
      <c r="E20" s="279"/>
      <c r="F20" s="290"/>
      <c r="G20" s="457" t="s">
        <v>768</v>
      </c>
      <c r="H20" s="458" t="s">
        <v>769</v>
      </c>
      <c r="I20" s="455" t="s">
        <v>770</v>
      </c>
      <c r="J20" s="443" t="s">
        <v>727</v>
      </c>
      <c r="K20" s="441">
        <v>3</v>
      </c>
      <c r="L20" s="440">
        <v>4</v>
      </c>
      <c r="M20" s="438">
        <f t="shared" ref="M20" si="5">K20*L20</f>
        <v>12</v>
      </c>
      <c r="N20" s="445" t="str">
        <f t="shared" ref="N20" si="6">IF(AND(K20=1,L20=1),"BAJO",IF(AND(K20=1,L20=2),"BAJO",IF(AND(K20=2,L20=1),"BAJO",IF(AND(K20=2,L20=2),"BAJO",IF(AND(K20=3,L20=1),"BAJO",IF(AND(K20=1,L20=3),"MODERADO",IF(AND(K20=2,L20=3),"MODERADO",IF(AND(K20=3,L20=2),"MODERADO",IF(AND(K20=4,L20=1),"MODERADO",IF(AND(K20=5,L20=1),"ALTO",IF(AND(K20=4,L20=2),"ALTO",IF(AND(K20=3,L20=3),"ALTO",IF(AND(K20=2,L20=4),"ALTO",IF(AND(K20=1,L20=4),"ALTO",IF(AND(K20=5,L20=2),"ALTO",IF(AND(K20=4,L20=3),"ALTO","EXTREMO"))))))))))))))))</f>
        <v>EXTREMO</v>
      </c>
      <c r="O20" s="457" t="s">
        <v>771</v>
      </c>
      <c r="P20" s="440" t="s">
        <v>729</v>
      </c>
      <c r="Q20" s="436" t="s">
        <v>730</v>
      </c>
      <c r="R20" s="436" t="s">
        <v>772</v>
      </c>
      <c r="S20" s="433" t="s">
        <v>732</v>
      </c>
      <c r="T20" s="433">
        <f>IF(S20="Asignado",[4]Listas!$C$30,[4]Listas!$C$31)</f>
        <v>15</v>
      </c>
      <c r="U20" s="433" t="s">
        <v>733</v>
      </c>
      <c r="V20" s="433">
        <f>IF(U20="Adecuado",[4]Listas!$C$32,[4]Listas!$C$33)</f>
        <v>15</v>
      </c>
      <c r="W20" s="433" t="s">
        <v>734</v>
      </c>
      <c r="X20" s="433">
        <f>IF(W20="Oportuna",[4]Listas!$C$34,[4]Listas!$C$35)</f>
        <v>15</v>
      </c>
      <c r="Y20" s="433" t="s">
        <v>735</v>
      </c>
      <c r="Z20" s="433">
        <f>IF(Y20="Prevenir",[4]Listas!$C$36,IF(Y20="Detectar",[4]Listas!$C$37,[4]Listas!$C$38))</f>
        <v>15</v>
      </c>
      <c r="AA20" s="433" t="s">
        <v>736</v>
      </c>
      <c r="AB20" s="433">
        <f>IF(AA20="Confiable",[4]Listas!$C$39,[4]Listas!$C$40)</f>
        <v>15</v>
      </c>
      <c r="AC20" s="433" t="s">
        <v>737</v>
      </c>
      <c r="AD20" s="433">
        <f>IF(AC20="Se investigan y resuelven oportunamente",[4]Listas!$C$41,[4]Listas!$C$42)</f>
        <v>15</v>
      </c>
      <c r="AE20" s="433" t="s">
        <v>738</v>
      </c>
      <c r="AF20" s="433">
        <f>IF(AE20="Completa",[4]Listas!$C$43,IF(AE20="Incompleta",[4]Listas!$C$44,[4]Listas!$C$45))</f>
        <v>10</v>
      </c>
      <c r="AG20" s="440">
        <f t="shared" ref="AG20" si="7">T20+V20+X20+Z20+AB20+AD20+AF20</f>
        <v>100</v>
      </c>
      <c r="AH20" s="440">
        <f>AVERAGE(AG20:AG20)</f>
        <v>100</v>
      </c>
      <c r="AI20" s="441">
        <v>1</v>
      </c>
      <c r="AJ20" s="440">
        <v>5</v>
      </c>
      <c r="AK20" s="438">
        <f>+AI20*AJ20</f>
        <v>5</v>
      </c>
      <c r="AL20" s="445" t="str">
        <f t="shared" ref="AL20" si="8">IF(AND(AI20=1,AJ20=1),"BAJO",IF(AND(AI20=1,AJ20=2),"BAJO",IF(AND(AI20=2,AJ20=1),"BAJO",IF(AND(AI20=2,AJ20=2),"BAJO",IF(AND(AI20=3,AJ20=1),"BAJO",IF(AND(AI20=1,AJ20=3),"MODERADO",IF(AND(AI20=2,AJ20=3),"MODERADO",IF(AND(AI20=3,AJ20=2),"MODERADO",IF(AND(AI20=4,AJ20=1),"MODERADO",IF(AND(AI20=5,AJ20=1),"ALTO",IF(AND(AI20=4,AJ20=2),"ALTO",IF(AND(AI20=3,AJ20=3),"ALTO",IF(AND(AI20=2,AJ20=4),"ALTO",IF(AND(AI20=1,AJ20=4),"ALTO",IF(AND(AI20=5,AJ20=2),"ALTO",IF(AND(AI20=4,AJ20=3),"ALTO","EXTREMO"))))))))))))))))</f>
        <v>EXTREMO</v>
      </c>
      <c r="AM20" s="433" t="s">
        <v>739</v>
      </c>
      <c r="AN20" s="437" t="s">
        <v>773</v>
      </c>
      <c r="AO20" s="437" t="s">
        <v>774</v>
      </c>
      <c r="AP20" s="436" t="s">
        <v>775</v>
      </c>
      <c r="AQ20" s="436" t="s">
        <v>776</v>
      </c>
      <c r="AR20" s="456" t="s">
        <v>777</v>
      </c>
      <c r="AS20" s="509"/>
      <c r="AT20" s="521" t="s">
        <v>937</v>
      </c>
      <c r="AU20" s="500" t="s">
        <v>1038</v>
      </c>
      <c r="AV20" s="498" t="s">
        <v>1041</v>
      </c>
      <c r="AW20" s="498" t="s">
        <v>1039</v>
      </c>
      <c r="AX20" s="500">
        <v>1</v>
      </c>
      <c r="AY20" s="500">
        <v>1</v>
      </c>
      <c r="AZ20" s="498" t="s">
        <v>1040</v>
      </c>
      <c r="BA20" s="498" t="s">
        <v>1044</v>
      </c>
    </row>
    <row r="21" spans="1:53" ht="74.25" customHeight="1" x14ac:dyDescent="0.25">
      <c r="A21" s="449"/>
      <c r="B21" s="440"/>
      <c r="C21" s="277"/>
      <c r="D21" s="279"/>
      <c r="E21" s="279" t="s">
        <v>778</v>
      </c>
      <c r="F21" s="290" t="s">
        <v>768</v>
      </c>
      <c r="G21" s="457"/>
      <c r="H21" s="458"/>
      <c r="I21" s="455"/>
      <c r="J21" s="443"/>
      <c r="K21" s="441"/>
      <c r="L21" s="440"/>
      <c r="M21" s="438"/>
      <c r="N21" s="445"/>
      <c r="O21" s="457"/>
      <c r="P21" s="440"/>
      <c r="Q21" s="436"/>
      <c r="R21" s="436"/>
      <c r="S21" s="433"/>
      <c r="T21" s="433"/>
      <c r="U21" s="433"/>
      <c r="V21" s="433"/>
      <c r="W21" s="433"/>
      <c r="X21" s="433"/>
      <c r="Y21" s="433"/>
      <c r="Z21" s="433"/>
      <c r="AA21" s="433"/>
      <c r="AB21" s="433"/>
      <c r="AC21" s="433"/>
      <c r="AD21" s="433"/>
      <c r="AE21" s="433"/>
      <c r="AF21" s="433"/>
      <c r="AG21" s="440"/>
      <c r="AH21" s="440"/>
      <c r="AI21" s="441"/>
      <c r="AJ21" s="440"/>
      <c r="AK21" s="438"/>
      <c r="AL21" s="445"/>
      <c r="AM21" s="433"/>
      <c r="AN21" s="437"/>
      <c r="AO21" s="437"/>
      <c r="AP21" s="436"/>
      <c r="AQ21" s="436"/>
      <c r="AR21" s="456"/>
      <c r="AS21" s="511"/>
      <c r="AT21" s="522"/>
      <c r="AU21" s="504"/>
      <c r="AV21" s="505"/>
      <c r="AW21" s="505"/>
      <c r="AX21" s="504"/>
      <c r="AY21" s="504"/>
      <c r="AZ21" s="505"/>
      <c r="BA21" s="505"/>
    </row>
    <row r="22" spans="1:53" ht="45.75" customHeight="1" x14ac:dyDescent="0.25">
      <c r="A22" s="449" t="s">
        <v>723</v>
      </c>
      <c r="B22" s="440">
        <v>4</v>
      </c>
      <c r="C22" s="277"/>
      <c r="D22" s="279" t="s">
        <v>745</v>
      </c>
      <c r="E22" s="279"/>
      <c r="F22" s="279"/>
      <c r="G22" s="274" t="s">
        <v>757</v>
      </c>
      <c r="H22" s="461" t="s">
        <v>758</v>
      </c>
      <c r="I22" s="455" t="s">
        <v>726</v>
      </c>
      <c r="J22" s="454" t="s">
        <v>727</v>
      </c>
      <c r="K22" s="441">
        <v>2</v>
      </c>
      <c r="L22" s="440">
        <v>4</v>
      </c>
      <c r="M22" s="438">
        <f>K22*L22</f>
        <v>8</v>
      </c>
      <c r="N22" s="445" t="str">
        <f>IF(AND(K22=1,L22=1),"BAJO",IF(AND(K22=1,L22=2),"BAJO",IF(AND(K22=2,L22=1),"BAJO",IF(AND(K22=2,L22=2),"BAJO",IF(AND(K22=3,L22=1),"BAJO",IF(AND(K22=1,L22=3),"MODERADO",IF(AND(K22=2,L22=3),"MODERADO",IF(AND(K22=3,L22=2),"MODERADO",IF(AND(K22=4,L22=1),"MODERADO",IF(AND(K22=5,L22=1),"ALTO",IF(AND(K22=4,L22=2),"ALTO",IF(AND(K22=3,L22=3),"ALTO",IF(AND(K22=2,L22=4),"ALTO",IF(AND(K22=1,L22=4),"ALTO",IF(AND(K22=5,L22=2),"ALTO",IF(AND(K22=4,L22=3),"ALTO","EXTREMO"))))))))))))))))</f>
        <v>ALTO</v>
      </c>
      <c r="O22" s="462" t="s">
        <v>759</v>
      </c>
      <c r="P22" s="440" t="s">
        <v>729</v>
      </c>
      <c r="Q22" s="436" t="s">
        <v>730</v>
      </c>
      <c r="R22" s="436" t="s">
        <v>731</v>
      </c>
      <c r="S22" s="433" t="s">
        <v>732</v>
      </c>
      <c r="T22" s="433">
        <f>IF(S22="Asignado",[5]Listas!$C$30,[5]Listas!$C$31)</f>
        <v>15</v>
      </c>
      <c r="U22" s="433" t="s">
        <v>733</v>
      </c>
      <c r="V22" s="433">
        <f>IF(U22="Adecuado",[5]Listas!$C$32,[5]Listas!$C$33)</f>
        <v>15</v>
      </c>
      <c r="W22" s="433" t="s">
        <v>734</v>
      </c>
      <c r="X22" s="433">
        <f>IF(W22="Oportuna",[5]Listas!$C$34,[5]Listas!$C$35)</f>
        <v>15</v>
      </c>
      <c r="Y22" s="433" t="s">
        <v>735</v>
      </c>
      <c r="Z22" s="433">
        <f>IF(Y22="Prevenir",[5]Listas!$C$36,IF(Y22="Detectar",[5]Listas!$C$37,[5]Listas!$C$38))</f>
        <v>15</v>
      </c>
      <c r="AA22" s="433" t="s">
        <v>736</v>
      </c>
      <c r="AB22" s="433">
        <f>IF(AA22="Confiable",[5]Listas!$C$39,[5]Listas!$C$40)</f>
        <v>15</v>
      </c>
      <c r="AC22" s="433" t="s">
        <v>737</v>
      </c>
      <c r="AD22" s="433">
        <f>IF(AC22="Se investigan y resuelven oportunamente",[5]Listas!$C$41,[5]Listas!$C$42)</f>
        <v>15</v>
      </c>
      <c r="AE22" s="433" t="s">
        <v>738</v>
      </c>
      <c r="AF22" s="433">
        <f>IF(AE22="Completa",[5]Listas!$C$43,IF(AE22="Incompleta",[5]Listas!$C$44,[5]Listas!$C$45))</f>
        <v>10</v>
      </c>
      <c r="AG22" s="440">
        <f>T22+V22+X22+Z22+AB22+AD22+AF22</f>
        <v>100</v>
      </c>
      <c r="AH22" s="440">
        <v>100</v>
      </c>
      <c r="AI22" s="441">
        <v>1</v>
      </c>
      <c r="AJ22" s="440">
        <v>4</v>
      </c>
      <c r="AK22" s="438">
        <f>AI22*AJ22</f>
        <v>4</v>
      </c>
      <c r="AL22" s="445" t="str">
        <f>IF(AND(AI22=1,AJ22=1),"BAJO",IF(AND(AI22=1,AJ22=2),"BAJO",IF(AND(AI22=2,AJ22=1),"BAJO",IF(AND(AI22=2,AJ22=2),"BAJO",IF(AND(AI22=3,AJ22=1),"BAJO",IF(AND(AI22=1,AJ22=3),"MODERADO",IF(AND(AI22=2,AJ22=3),"MODERADO",IF(AND(AI22=3,AJ22=2),"MODERADO",IF(AND(AI22=4,AJ22=1),"MODERADO",IF(AND(AI22=5,AJ22=1),"ALTO",IF(AND(AI22=4,AJ22=2),"ALTO",IF(AND(AI22=3,AJ22=3),"ALTO",IF(AND(AI22=2,AJ22=4),"ALTO",IF(AND(AI22=1,AJ22=4),"ALTO",IF(AND(AI22=5,AJ22=2),"ALTO",IF(AND(AI22=4,AJ22=3),"ALTO","EXTREMO"))))))))))))))))</f>
        <v>ALTO</v>
      </c>
      <c r="AM22" s="433" t="s">
        <v>739</v>
      </c>
      <c r="AN22" s="436" t="s">
        <v>760</v>
      </c>
      <c r="AO22" s="436" t="s">
        <v>761</v>
      </c>
      <c r="AP22" s="436" t="s">
        <v>754</v>
      </c>
      <c r="AQ22" s="436" t="s">
        <v>762</v>
      </c>
      <c r="AR22" s="436" t="s">
        <v>763</v>
      </c>
      <c r="AS22" s="509"/>
      <c r="AT22" s="500" t="s">
        <v>1029</v>
      </c>
      <c r="AU22" s="498" t="s">
        <v>929</v>
      </c>
      <c r="AV22" s="498" t="s">
        <v>1034</v>
      </c>
      <c r="AW22" s="498" t="s">
        <v>1042</v>
      </c>
      <c r="AX22" s="515">
        <v>100</v>
      </c>
      <c r="AY22" s="518">
        <v>100</v>
      </c>
      <c r="AZ22" s="512"/>
      <c r="BA22" s="512" t="s">
        <v>1043</v>
      </c>
    </row>
    <row r="23" spans="1:53" ht="33" customHeight="1" x14ac:dyDescent="0.25">
      <c r="A23" s="449"/>
      <c r="B23" s="440"/>
      <c r="C23" s="277"/>
      <c r="D23" s="279" t="s">
        <v>745</v>
      </c>
      <c r="E23" s="279"/>
      <c r="F23" s="279"/>
      <c r="G23" s="303" t="s">
        <v>764</v>
      </c>
      <c r="H23" s="461"/>
      <c r="I23" s="455"/>
      <c r="J23" s="454"/>
      <c r="K23" s="441"/>
      <c r="L23" s="440"/>
      <c r="M23" s="438"/>
      <c r="N23" s="445"/>
      <c r="O23" s="462"/>
      <c r="P23" s="440"/>
      <c r="Q23" s="436"/>
      <c r="R23" s="436"/>
      <c r="S23" s="433"/>
      <c r="T23" s="433"/>
      <c r="U23" s="433"/>
      <c r="V23" s="433"/>
      <c r="W23" s="433"/>
      <c r="X23" s="433"/>
      <c r="Y23" s="433"/>
      <c r="Z23" s="433"/>
      <c r="AA23" s="433"/>
      <c r="AB23" s="433"/>
      <c r="AC23" s="433"/>
      <c r="AD23" s="433"/>
      <c r="AE23" s="433"/>
      <c r="AF23" s="433"/>
      <c r="AG23" s="440"/>
      <c r="AH23" s="440"/>
      <c r="AI23" s="441"/>
      <c r="AJ23" s="440"/>
      <c r="AK23" s="438"/>
      <c r="AL23" s="445"/>
      <c r="AM23" s="433"/>
      <c r="AN23" s="436"/>
      <c r="AO23" s="436"/>
      <c r="AP23" s="436"/>
      <c r="AQ23" s="436"/>
      <c r="AR23" s="436"/>
      <c r="AS23" s="510"/>
      <c r="AT23" s="501"/>
      <c r="AU23" s="499"/>
      <c r="AV23" s="499"/>
      <c r="AW23" s="499"/>
      <c r="AX23" s="516"/>
      <c r="AY23" s="519"/>
      <c r="AZ23" s="499"/>
      <c r="BA23" s="513"/>
    </row>
    <row r="24" spans="1:53" s="253" customFormat="1" ht="28.5" customHeight="1" x14ac:dyDescent="0.25">
      <c r="A24" s="449"/>
      <c r="B24" s="440"/>
      <c r="C24" s="269"/>
      <c r="D24" s="279" t="s">
        <v>745</v>
      </c>
      <c r="E24" s="279"/>
      <c r="F24" s="279"/>
      <c r="G24" s="304" t="s">
        <v>765</v>
      </c>
      <c r="H24" s="461"/>
      <c r="I24" s="455"/>
      <c r="J24" s="454"/>
      <c r="K24" s="441"/>
      <c r="L24" s="440"/>
      <c r="M24" s="438"/>
      <c r="N24" s="445"/>
      <c r="O24" s="462"/>
      <c r="P24" s="440"/>
      <c r="Q24" s="436"/>
      <c r="R24" s="436"/>
      <c r="S24" s="433"/>
      <c r="T24" s="433"/>
      <c r="U24" s="433"/>
      <c r="V24" s="433"/>
      <c r="W24" s="433"/>
      <c r="X24" s="433"/>
      <c r="Y24" s="433"/>
      <c r="Z24" s="433"/>
      <c r="AA24" s="433"/>
      <c r="AB24" s="433"/>
      <c r="AC24" s="433"/>
      <c r="AD24" s="433"/>
      <c r="AE24" s="433"/>
      <c r="AF24" s="433"/>
      <c r="AG24" s="440"/>
      <c r="AH24" s="440"/>
      <c r="AI24" s="441"/>
      <c r="AJ24" s="440"/>
      <c r="AK24" s="438"/>
      <c r="AL24" s="445"/>
      <c r="AM24" s="433"/>
      <c r="AN24" s="436"/>
      <c r="AO24" s="436"/>
      <c r="AP24" s="436"/>
      <c r="AQ24" s="436"/>
      <c r="AR24" s="436"/>
      <c r="AS24" s="510"/>
      <c r="AT24" s="501"/>
      <c r="AU24" s="499"/>
      <c r="AV24" s="499"/>
      <c r="AW24" s="499"/>
      <c r="AX24" s="516"/>
      <c r="AY24" s="519"/>
      <c r="AZ24" s="499"/>
      <c r="BA24" s="513"/>
    </row>
    <row r="25" spans="1:53" ht="28.5" customHeight="1" x14ac:dyDescent="0.25">
      <c r="A25" s="449"/>
      <c r="B25" s="440"/>
      <c r="C25" s="269"/>
      <c r="D25" s="279" t="s">
        <v>745</v>
      </c>
      <c r="E25" s="279"/>
      <c r="F25" s="279"/>
      <c r="G25" s="305" t="s">
        <v>766</v>
      </c>
      <c r="H25" s="461"/>
      <c r="I25" s="455"/>
      <c r="J25" s="454"/>
      <c r="K25" s="441"/>
      <c r="L25" s="440"/>
      <c r="M25" s="438"/>
      <c r="N25" s="445"/>
      <c r="O25" s="462"/>
      <c r="P25" s="440"/>
      <c r="Q25" s="436"/>
      <c r="R25" s="436"/>
      <c r="S25" s="433"/>
      <c r="T25" s="433"/>
      <c r="U25" s="433"/>
      <c r="V25" s="433"/>
      <c r="W25" s="433"/>
      <c r="X25" s="433"/>
      <c r="Y25" s="433"/>
      <c r="Z25" s="433"/>
      <c r="AA25" s="433"/>
      <c r="AB25" s="433"/>
      <c r="AC25" s="433"/>
      <c r="AD25" s="433"/>
      <c r="AE25" s="433"/>
      <c r="AF25" s="433"/>
      <c r="AG25" s="440"/>
      <c r="AH25" s="440"/>
      <c r="AI25" s="441"/>
      <c r="AJ25" s="440"/>
      <c r="AK25" s="438"/>
      <c r="AL25" s="445"/>
      <c r="AM25" s="433"/>
      <c r="AN25" s="436"/>
      <c r="AO25" s="436"/>
      <c r="AP25" s="436"/>
      <c r="AQ25" s="436"/>
      <c r="AR25" s="436"/>
      <c r="AS25" s="511"/>
      <c r="AT25" s="504"/>
      <c r="AU25" s="505"/>
      <c r="AV25" s="505"/>
      <c r="AW25" s="505"/>
      <c r="AX25" s="517"/>
      <c r="AY25" s="520"/>
      <c r="AZ25" s="505"/>
      <c r="BA25" s="514"/>
    </row>
    <row r="26" spans="1:53" ht="337.5" x14ac:dyDescent="0.25">
      <c r="A26" s="457" t="s">
        <v>172</v>
      </c>
      <c r="B26" s="262">
        <v>3</v>
      </c>
      <c r="C26" s="262"/>
      <c r="D26" s="279" t="s">
        <v>724</v>
      </c>
      <c r="E26" s="279"/>
      <c r="F26" s="279"/>
      <c r="G26" s="291" t="s">
        <v>874</v>
      </c>
      <c r="H26" s="274" t="s">
        <v>875</v>
      </c>
      <c r="I26" s="274" t="s">
        <v>876</v>
      </c>
      <c r="J26" s="257" t="s">
        <v>727</v>
      </c>
      <c r="K26" s="264">
        <v>3</v>
      </c>
      <c r="L26" s="263">
        <v>4</v>
      </c>
      <c r="M26" s="265">
        <f t="shared" ref="M26:M31" si="9">K26*L26</f>
        <v>12</v>
      </c>
      <c r="N26" s="266" t="str">
        <f t="shared" ref="N26:N31" si="10">IF(AND(K26=1,L26=1),"BAJO",IF(AND(K26=1,L26=2),"BAJO",IF(AND(K26=2,L26=1),"BAJO",IF(AND(K26=2,L26=2),"BAJO",IF(AND(K26=3,L26=1),"BAJO",IF(AND(K26=1,L26=3),"MODERADO",IF(AND(K26=2,L26=3),"MODERADO",IF(AND(K26=3,L26=2),"MODERADO",IF(AND(K26=4,L26=1),"MODERADO",IF(AND(K26=5,L26=1),"ALTO",IF(AND(K26=4,L26=2),"ALTO",IF(AND(K26=3,L26=3),"ALTO",IF(AND(K26=2,L26=4),"ALTO",IF(AND(K26=1,L26=4),"ALTO",IF(AND(K26=5,L26=2),"ALTO",IF(AND(K26=4,L26=3),"ALTO","EXTREMO"))))))))))))))))</f>
        <v>EXTREMO</v>
      </c>
      <c r="O26" s="292" t="s">
        <v>877</v>
      </c>
      <c r="P26" s="276" t="s">
        <v>807</v>
      </c>
      <c r="Q26" s="279" t="s">
        <v>730</v>
      </c>
      <c r="R26" s="279" t="s">
        <v>730</v>
      </c>
      <c r="S26" s="269" t="s">
        <v>732</v>
      </c>
      <c r="T26" s="280">
        <f>IF(S26="Asignado",[6]Listas!$C$30,[6]Listas!$C$31)</f>
        <v>15</v>
      </c>
      <c r="U26" s="269" t="s">
        <v>733</v>
      </c>
      <c r="V26" s="280">
        <f>IF(U26="Adecuado",[6]Listas!$C$32,[6]Listas!$C$33)</f>
        <v>15</v>
      </c>
      <c r="W26" s="269" t="s">
        <v>734</v>
      </c>
      <c r="X26" s="280">
        <f>IF(W26="Oportuna",[6]Listas!$C$34,[6]Listas!$C$35)</f>
        <v>15</v>
      </c>
      <c r="Y26" s="269" t="s">
        <v>808</v>
      </c>
      <c r="Z26" s="280">
        <f>IF(Y26="Prevenir",[6]Listas!$C$36,IF(Y26="Detectar",[6]Listas!$C$37,[6]Listas!$C$38))</f>
        <v>10</v>
      </c>
      <c r="AA26" s="269" t="s">
        <v>736</v>
      </c>
      <c r="AB26" s="280">
        <f>IF(AA26="Confiable",[6]Listas!$C$39,[6]Listas!$C$40)</f>
        <v>15</v>
      </c>
      <c r="AC26" s="269" t="s">
        <v>737</v>
      </c>
      <c r="AD26" s="280">
        <f>IF(AC26="Se investigan y resuelven oportunamente",[6]Listas!$C$41,[6]Listas!$C$42)</f>
        <v>15</v>
      </c>
      <c r="AE26" s="269" t="s">
        <v>738</v>
      </c>
      <c r="AF26" s="280">
        <f>IF(AE26="Completa",[6]Listas!$C$43,IF(AE26="Incompleta",[6]Listas!$C$44,[6]Listas!$C$45))</f>
        <v>10</v>
      </c>
      <c r="AG26" s="276">
        <f t="shared" ref="AG26:AG35" si="11">T26+V26+X26+Z26+AB26+AD26+AF26</f>
        <v>95</v>
      </c>
      <c r="AH26" s="263">
        <f>AVERAGE(AG26:AG26)</f>
        <v>95</v>
      </c>
      <c r="AI26" s="293" t="str">
        <f>IF(AND(AH26&gt;=96,AH26&lt;=100),"FUERTE",IF(AND(AH26&gt;=86,AH26&lt;=95),"MODERADO","DEBIL"))</f>
        <v>MODERADO</v>
      </c>
      <c r="AJ26" s="264">
        <v>1</v>
      </c>
      <c r="AK26" s="263">
        <v>2</v>
      </c>
      <c r="AL26" s="265">
        <f>AJ26*AK26</f>
        <v>2</v>
      </c>
      <c r="AM26" s="269" t="s">
        <v>785</v>
      </c>
      <c r="AN26" s="272" t="s">
        <v>878</v>
      </c>
      <c r="AO26" s="272" t="s">
        <v>879</v>
      </c>
      <c r="AP26" s="272" t="s">
        <v>880</v>
      </c>
      <c r="AQ26" s="273" t="s">
        <v>881</v>
      </c>
      <c r="AR26" s="257" t="s">
        <v>882</v>
      </c>
      <c r="AS26" s="120"/>
      <c r="AT26" s="120"/>
      <c r="AU26" s="120"/>
      <c r="AV26" s="124" t="s">
        <v>970</v>
      </c>
      <c r="AW26" s="120"/>
      <c r="AX26" s="120"/>
      <c r="AY26" s="120"/>
      <c r="AZ26" s="120"/>
      <c r="BA26" s="120"/>
    </row>
    <row r="27" spans="1:53" ht="121.5" x14ac:dyDescent="0.25">
      <c r="A27" s="457"/>
      <c r="B27" s="262">
        <v>4</v>
      </c>
      <c r="C27" s="262"/>
      <c r="D27" s="279" t="s">
        <v>724</v>
      </c>
      <c r="E27" s="279"/>
      <c r="F27" s="279"/>
      <c r="G27" s="267" t="s">
        <v>883</v>
      </c>
      <c r="H27" s="275" t="s">
        <v>884</v>
      </c>
      <c r="I27" s="294" t="s">
        <v>885</v>
      </c>
      <c r="J27" s="257" t="s">
        <v>727</v>
      </c>
      <c r="K27" s="264">
        <v>3</v>
      </c>
      <c r="L27" s="263">
        <v>4</v>
      </c>
      <c r="M27" s="265">
        <f t="shared" si="9"/>
        <v>12</v>
      </c>
      <c r="N27" s="266" t="str">
        <f t="shared" si="10"/>
        <v>EXTREMO</v>
      </c>
      <c r="O27" s="267" t="s">
        <v>886</v>
      </c>
      <c r="P27" s="276" t="s">
        <v>807</v>
      </c>
      <c r="Q27" s="279" t="s">
        <v>731</v>
      </c>
      <c r="R27" s="279" t="s">
        <v>731</v>
      </c>
      <c r="S27" s="269" t="s">
        <v>732</v>
      </c>
      <c r="T27" s="280">
        <f>IF(S27="Asignado",[6]Listas!$C$30,[6]Listas!$C$31)</f>
        <v>15</v>
      </c>
      <c r="U27" s="269" t="s">
        <v>733</v>
      </c>
      <c r="V27" s="280">
        <f>IF(U27="Adecuado",[6]Listas!$C$32,[6]Listas!$C$33)</f>
        <v>15</v>
      </c>
      <c r="W27" s="269" t="s">
        <v>887</v>
      </c>
      <c r="X27" s="280">
        <f>IF(W27="Oportuna",[6]Listas!$C$34,[6]Listas!$C$35)</f>
        <v>0</v>
      </c>
      <c r="Y27" s="269" t="s">
        <v>888</v>
      </c>
      <c r="Z27" s="280">
        <f>IF(Y27="Prevenir",[6]Listas!$C$36,IF(Y27="Detectar",[6]Listas!$C$37,[6]Listas!$C$38))</f>
        <v>0</v>
      </c>
      <c r="AA27" s="269" t="s">
        <v>889</v>
      </c>
      <c r="AB27" s="280">
        <f>IF(AA27="Confiable",[6]Listas!$C$39,[6]Listas!$C$40)</f>
        <v>0</v>
      </c>
      <c r="AC27" s="269" t="s">
        <v>784</v>
      </c>
      <c r="AD27" s="280">
        <f>IF(AC27="Se investigan y resuelven oportunamente",[6]Listas!$C$41,[6]Listas!$C$42)</f>
        <v>0</v>
      </c>
      <c r="AE27" s="269" t="s">
        <v>890</v>
      </c>
      <c r="AF27" s="280">
        <f>IF(AE27="Completa",[6]Listas!$C$43,IF(AE27="Incompleta",[6]Listas!$C$44,[6]Listas!$C$45))</f>
        <v>5</v>
      </c>
      <c r="AG27" s="276">
        <f t="shared" si="11"/>
        <v>35</v>
      </c>
      <c r="AH27" s="263">
        <f>AVERAGE(AG27:AG27)</f>
        <v>35</v>
      </c>
      <c r="AI27" s="293" t="str">
        <f>IF(AND(AH27&gt;=96,AH27&lt;=100),"FUERTE",IF(AND(AH27&gt;=86,AH27&lt;=95),"MODERADO","DEBIL"))</f>
        <v>DEBIL</v>
      </c>
      <c r="AJ27" s="264">
        <v>3</v>
      </c>
      <c r="AK27" s="263">
        <v>4</v>
      </c>
      <c r="AL27" s="265">
        <f>AJ27*AK27</f>
        <v>12</v>
      </c>
      <c r="AM27" s="269" t="s">
        <v>785</v>
      </c>
      <c r="AN27" s="272" t="s">
        <v>891</v>
      </c>
      <c r="AO27" s="272" t="s">
        <v>892</v>
      </c>
      <c r="AP27" s="272" t="s">
        <v>893</v>
      </c>
      <c r="AQ27" s="273" t="s">
        <v>881</v>
      </c>
      <c r="AR27" s="272" t="s">
        <v>894</v>
      </c>
      <c r="AS27" s="120"/>
      <c r="AT27" s="120"/>
      <c r="AU27" s="120"/>
      <c r="AV27" s="120"/>
      <c r="AW27" s="120"/>
      <c r="AX27" s="120"/>
      <c r="AY27" s="120"/>
      <c r="AZ27" s="120"/>
      <c r="BA27" s="120"/>
    </row>
    <row r="28" spans="1:53" ht="175.5" x14ac:dyDescent="0.25">
      <c r="A28" s="463" t="s">
        <v>183</v>
      </c>
      <c r="B28" s="276">
        <v>1</v>
      </c>
      <c r="C28" s="262"/>
      <c r="D28" s="279" t="s">
        <v>724</v>
      </c>
      <c r="E28" s="279"/>
      <c r="F28" s="279"/>
      <c r="G28" s="295" t="s">
        <v>904</v>
      </c>
      <c r="H28" s="296" t="s">
        <v>910</v>
      </c>
      <c r="I28" s="292" t="s">
        <v>909</v>
      </c>
      <c r="J28" s="257" t="s">
        <v>727</v>
      </c>
      <c r="K28" s="264">
        <v>3</v>
      </c>
      <c r="L28" s="263">
        <v>5</v>
      </c>
      <c r="M28" s="265">
        <f t="shared" si="9"/>
        <v>15</v>
      </c>
      <c r="N28" s="266" t="str">
        <f t="shared" si="10"/>
        <v>EXTREMO</v>
      </c>
      <c r="O28" s="292" t="s">
        <v>908</v>
      </c>
      <c r="P28" s="276" t="s">
        <v>729</v>
      </c>
      <c r="Q28" s="279" t="s">
        <v>730</v>
      </c>
      <c r="R28" s="279" t="s">
        <v>730</v>
      </c>
      <c r="S28" s="269" t="s">
        <v>732</v>
      </c>
      <c r="T28" s="280">
        <f>IF(S28="Asignado",[7]Listas!$C$30,[7]Listas!$C$31)</f>
        <v>15</v>
      </c>
      <c r="U28" s="269" t="s">
        <v>733</v>
      </c>
      <c r="V28" s="280">
        <f>IF(U28="Adecuado",[7]Listas!$C$32,[7]Listas!$C$33)</f>
        <v>15</v>
      </c>
      <c r="W28" s="269" t="s">
        <v>734</v>
      </c>
      <c r="X28" s="280">
        <f>IF(W28="Oportuna",[7]Listas!$C$34,[7]Listas!$C$35)</f>
        <v>15</v>
      </c>
      <c r="Y28" s="269" t="s">
        <v>735</v>
      </c>
      <c r="Z28" s="280">
        <f>IF(Y28="Prevenir",[7]Listas!$C$36,IF(Y28="Detectar",[7]Listas!$C$37,[7]Listas!$C$38))</f>
        <v>15</v>
      </c>
      <c r="AA28" s="269" t="s">
        <v>736</v>
      </c>
      <c r="AB28" s="280">
        <f>IF(AA28="Confiable",[7]Listas!$C$39,[7]Listas!$C$40)</f>
        <v>15</v>
      </c>
      <c r="AC28" s="269" t="s">
        <v>737</v>
      </c>
      <c r="AD28" s="280">
        <f>IF(AC28="Se investigan y resuelven oportunamente",[7]Listas!$C$41,[7]Listas!$C$42)</f>
        <v>15</v>
      </c>
      <c r="AE28" s="269" t="s">
        <v>738</v>
      </c>
      <c r="AF28" s="280">
        <f>IF(AE28="Completa",[7]Listas!$C$43,IF(AE28="Incompleta",[7]Listas!$C$44,[7]Listas!$C$45))</f>
        <v>10</v>
      </c>
      <c r="AG28" s="276">
        <f t="shared" si="11"/>
        <v>100</v>
      </c>
      <c r="AH28" s="263">
        <f>AVERAGE(AG28:AG28)</f>
        <v>100</v>
      </c>
      <c r="AI28" s="264">
        <v>2</v>
      </c>
      <c r="AJ28" s="263">
        <v>4</v>
      </c>
      <c r="AK28" s="265">
        <f>AI28*AJ28</f>
        <v>8</v>
      </c>
      <c r="AL28" s="271" t="str">
        <f>IF(AND(AI28=1,AJ28=1),"BAJO",IF(AND(AI28=1,AJ28=2),"BAJO",IF(AND(AI28=2,AJ28=1),"BAJO",IF(AND(AI28=2,AJ28=2),"BAJO",IF(AND(AI28=3,AJ28=1),"BAJO",IF(AND(AI28=1,AJ28=3),"MODERADO",IF(AND(AI28=2,AJ28=3),"MODERADO",IF(AND(AI28=3,AJ28=2),"MODERADO",IF(AND(AI28=4,AJ28=1),"MODERADO",IF(AND(AI28=5,AJ28=1),"ALTO",IF(AND(AI28=4,AJ28=2),"ALTO",IF(AND(AI28=3,AJ28=3),"ALTO",IF(AND(AI28=2,AJ28=4),"ALTO",IF(AND(AI28=1,AJ28=4),"ALTO",IF(AND(AI28=5,AJ28=2),"ALTO",IF(AND(AI28=4,AJ28=3),"ALTO","EXTREMO"))))))))))))))))</f>
        <v>ALTO</v>
      </c>
      <c r="AM28" s="269" t="s">
        <v>785</v>
      </c>
      <c r="AN28" s="272" t="s">
        <v>907</v>
      </c>
      <c r="AO28" s="272" t="s">
        <v>906</v>
      </c>
      <c r="AP28" s="272" t="s">
        <v>897</v>
      </c>
      <c r="AQ28" s="273" t="s">
        <v>896</v>
      </c>
      <c r="AR28" s="272" t="s">
        <v>905</v>
      </c>
      <c r="AS28" s="120"/>
      <c r="AT28" s="125" t="s">
        <v>978</v>
      </c>
      <c r="AU28" s="125" t="s">
        <v>979</v>
      </c>
      <c r="AV28" s="257" t="s">
        <v>980</v>
      </c>
      <c r="AW28" s="257" t="s">
        <v>981</v>
      </c>
      <c r="AX28" s="125">
        <v>100</v>
      </c>
      <c r="AY28" s="125">
        <v>100</v>
      </c>
      <c r="AZ28" s="257" t="s">
        <v>982</v>
      </c>
      <c r="BA28" s="257" t="s">
        <v>983</v>
      </c>
    </row>
    <row r="29" spans="1:53" ht="225" x14ac:dyDescent="0.25">
      <c r="A29" s="463"/>
      <c r="B29" s="276">
        <v>2</v>
      </c>
      <c r="C29" s="262"/>
      <c r="D29" s="279" t="s">
        <v>745</v>
      </c>
      <c r="E29" s="279"/>
      <c r="F29" s="279"/>
      <c r="G29" s="296" t="s">
        <v>904</v>
      </c>
      <c r="H29" s="297" t="s">
        <v>903</v>
      </c>
      <c r="I29" s="296" t="s">
        <v>902</v>
      </c>
      <c r="J29" s="257" t="s">
        <v>727</v>
      </c>
      <c r="K29" s="264">
        <v>3</v>
      </c>
      <c r="L29" s="263">
        <v>4</v>
      </c>
      <c r="M29" s="265">
        <f t="shared" si="9"/>
        <v>12</v>
      </c>
      <c r="N29" s="266" t="str">
        <f t="shared" si="10"/>
        <v>EXTREMO</v>
      </c>
      <c r="O29" s="292" t="s">
        <v>901</v>
      </c>
      <c r="P29" s="276" t="s">
        <v>729</v>
      </c>
      <c r="Q29" s="279" t="s">
        <v>730</v>
      </c>
      <c r="R29" s="279" t="s">
        <v>730</v>
      </c>
      <c r="S29" s="269" t="s">
        <v>732</v>
      </c>
      <c r="T29" s="280">
        <v>15</v>
      </c>
      <c r="U29" s="269" t="s">
        <v>733</v>
      </c>
      <c r="V29" s="280">
        <v>15</v>
      </c>
      <c r="W29" s="269" t="s">
        <v>734</v>
      </c>
      <c r="X29" s="280">
        <v>15</v>
      </c>
      <c r="Y29" s="269" t="s">
        <v>735</v>
      </c>
      <c r="Z29" s="280">
        <f>IF(Y29="Prevenir",[7]Listas!$C$36,IF(Y29="Detectar",[7]Listas!$C$37,[7]Listas!$C$38))</f>
        <v>15</v>
      </c>
      <c r="AA29" s="269" t="s">
        <v>736</v>
      </c>
      <c r="AB29" s="280">
        <f>IF(AA29="Confiable",[7]Listas!$C$39,[7]Listas!$C$40)</f>
        <v>15</v>
      </c>
      <c r="AC29" s="269" t="s">
        <v>737</v>
      </c>
      <c r="AD29" s="280">
        <f>IF(AC29="Se investigan y resuelven oportunamente",[7]Listas!$C$41,[7]Listas!$C$42)</f>
        <v>15</v>
      </c>
      <c r="AE29" s="269" t="s">
        <v>900</v>
      </c>
      <c r="AF29" s="280">
        <f>IF(AE29="Completa",[7]Listas!$C$43,IF(AE29="Incompleta",[7]Listas!$C$44,[7]Listas!$C$45))</f>
        <v>0</v>
      </c>
      <c r="AG29" s="276">
        <f t="shared" si="11"/>
        <v>90</v>
      </c>
      <c r="AH29" s="263">
        <f>AVERAGE(AG29:AG29)</f>
        <v>90</v>
      </c>
      <c r="AI29" s="264">
        <v>2</v>
      </c>
      <c r="AJ29" s="263">
        <v>3</v>
      </c>
      <c r="AK29" s="265">
        <f>AI29*AJ29</f>
        <v>6</v>
      </c>
      <c r="AL29" s="271" t="str">
        <f>IF(AND(AI29=1,AJ29=1),"BAJO",IF(AND(AI29=1,AJ29=2),"BAJO",IF(AND(AI29=2,AJ29=1),"BAJO",IF(AND(AI29=2,AJ29=2),"BAJO",IF(AND(AI29=3,AJ29=1),"BAJO",IF(AND(AI29=1,AJ29=3),"MODERADO",IF(AND(AI29=2,AJ29=3),"MODERADO",IF(AND(AI29=3,AJ29=2),"MODERADO",IF(AND(AI29=4,AJ29=1),"MODERADO",IF(AND(AI29=5,AJ29=1),"ALTO",IF(AND(AI29=4,AJ29=2),"ALTO",IF(AND(AI29=3,AJ29=3),"ALTO",IF(AND(AI29=2,AJ29=4),"ALTO",IF(AND(AI29=1,AJ29=4),"ALTO",IF(AND(AI29=5,AJ29=2),"ALTO",IF(AND(AI29=4,AJ29=3),"ALTO","EXTREMO"))))))))))))))))</f>
        <v>MODERADO</v>
      </c>
      <c r="AM29" s="269" t="s">
        <v>785</v>
      </c>
      <c r="AN29" s="257" t="s">
        <v>899</v>
      </c>
      <c r="AO29" s="272" t="s">
        <v>898</v>
      </c>
      <c r="AP29" s="272" t="s">
        <v>897</v>
      </c>
      <c r="AQ29" s="273" t="s">
        <v>896</v>
      </c>
      <c r="AR29" s="272" t="s">
        <v>895</v>
      </c>
      <c r="AS29" s="120"/>
      <c r="AT29" s="125" t="s">
        <v>937</v>
      </c>
      <c r="AU29" s="125" t="s">
        <v>929</v>
      </c>
      <c r="AV29" s="122" t="s">
        <v>984</v>
      </c>
      <c r="AW29" s="122" t="s">
        <v>985</v>
      </c>
      <c r="AX29" s="122" t="s">
        <v>986</v>
      </c>
      <c r="AY29" s="120" t="s">
        <v>946</v>
      </c>
      <c r="AZ29" s="120"/>
      <c r="BA29" s="120"/>
    </row>
    <row r="30" spans="1:53" ht="243" x14ac:dyDescent="0.25">
      <c r="A30" s="260" t="s">
        <v>0</v>
      </c>
      <c r="B30" s="276">
        <v>1</v>
      </c>
      <c r="C30" s="262"/>
      <c r="D30" s="279"/>
      <c r="E30" s="279"/>
      <c r="F30" s="279"/>
      <c r="G30" s="296" t="s">
        <v>911</v>
      </c>
      <c r="H30" s="296" t="s">
        <v>912</v>
      </c>
      <c r="I30" s="292" t="s">
        <v>913</v>
      </c>
      <c r="J30" s="257" t="s">
        <v>727</v>
      </c>
      <c r="K30" s="264">
        <v>2</v>
      </c>
      <c r="L30" s="263">
        <v>4</v>
      </c>
      <c r="M30" s="265">
        <f t="shared" si="9"/>
        <v>8</v>
      </c>
      <c r="N30" s="266" t="str">
        <f t="shared" si="10"/>
        <v>ALTO</v>
      </c>
      <c r="O30" s="272" t="s">
        <v>914</v>
      </c>
      <c r="P30" s="276" t="s">
        <v>729</v>
      </c>
      <c r="Q30" s="279" t="s">
        <v>730</v>
      </c>
      <c r="R30" s="279" t="s">
        <v>730</v>
      </c>
      <c r="S30" s="269" t="s">
        <v>732</v>
      </c>
      <c r="T30" s="280">
        <f>IF(S30="Asignado",[8]Listas!$C$30,[8]Listas!$C$31)</f>
        <v>15</v>
      </c>
      <c r="U30" s="269" t="s">
        <v>733</v>
      </c>
      <c r="V30" s="280">
        <f>IF(U30="Adecuado",[8]Listas!$C$32,[8]Listas!$C$33)</f>
        <v>15</v>
      </c>
      <c r="W30" s="269" t="s">
        <v>734</v>
      </c>
      <c r="X30" s="280">
        <f>IF(W30="Oportuna",[8]Listas!$C$34,[8]Listas!$C$35)</f>
        <v>15</v>
      </c>
      <c r="Y30" s="269" t="s">
        <v>735</v>
      </c>
      <c r="Z30" s="280">
        <f>IF(Y30="Prevenir",[8]Listas!$C$36,IF(Y30="Detectar",[8]Listas!$C$37,[8]Listas!$C$38))</f>
        <v>15</v>
      </c>
      <c r="AA30" s="269" t="s">
        <v>736</v>
      </c>
      <c r="AB30" s="280">
        <f>IF(AA30="Confiable",[8]Listas!$C$39,[8]Listas!$C$40)</f>
        <v>15</v>
      </c>
      <c r="AC30" s="269" t="s">
        <v>737</v>
      </c>
      <c r="AD30" s="280">
        <f>IF(AC30="Se investigan y resuelven oportunamente",[8]Listas!$C$41,[8]Listas!$C$42)</f>
        <v>15</v>
      </c>
      <c r="AE30" s="269" t="s">
        <v>738</v>
      </c>
      <c r="AF30" s="280">
        <f>IF(AE30="Completa",[8]Listas!$C$43,IF(AE30="Incompleta",[8]Listas!$C$44,[8]Listas!$C$45))</f>
        <v>10</v>
      </c>
      <c r="AG30" s="276">
        <f t="shared" si="11"/>
        <v>100</v>
      </c>
      <c r="AH30" s="263">
        <f>AVERAGE(AG30:AG30)</f>
        <v>100</v>
      </c>
      <c r="AI30" s="264">
        <v>1</v>
      </c>
      <c r="AJ30" s="263">
        <v>2</v>
      </c>
      <c r="AK30" s="265">
        <f>AI30*AJ30</f>
        <v>2</v>
      </c>
      <c r="AL30" s="271" t="str">
        <f>IF(AND(AI30=1,AJ30=1),"BAJO",IF(AND(AI30=1,AJ30=2),"BAJO",IF(AND(AI30=2,AJ30=1),"BAJO",IF(AND(AI30=2,AJ30=2),"BAJO",IF(AND(AI30=3,AJ30=1),"BAJO",IF(AND(AI30=1,AJ30=3),"MODERADO",IF(AND(AI30=2,AJ30=3),"MODERADO",IF(AND(AI30=3,AJ30=2),"MODERADO",IF(AND(AI30=4,AJ30=1),"MODERADO",IF(AND(AI30=5,AJ30=1),"ALTO",IF(AND(AI30=4,AJ30=2),"ALTO",IF(AND(AI30=3,AJ30=3),"ALTO",IF(AND(AI30=2,AJ30=4),"ALTO",IF(AND(AI30=1,AJ30=4),"ALTO",IF(AND(AI30=5,AJ30=2),"ALTO",IF(AND(AI30=4,AJ30=3),"ALTO","EXTREMO"))))))))))))))))</f>
        <v>BAJO</v>
      </c>
      <c r="AM30" s="269"/>
      <c r="AN30" s="272"/>
      <c r="AO30" s="272"/>
      <c r="AP30" s="272"/>
      <c r="AQ30" s="273"/>
      <c r="AR30" s="272"/>
      <c r="AS30" s="120"/>
      <c r="AT30" s="125" t="s">
        <v>937</v>
      </c>
      <c r="AU30" s="125" t="s">
        <v>929</v>
      </c>
      <c r="AV30" s="314" t="s">
        <v>953</v>
      </c>
      <c r="AW30" s="125" t="s">
        <v>929</v>
      </c>
      <c r="AX30" s="125" t="s">
        <v>508</v>
      </c>
      <c r="AY30" s="125" t="s">
        <v>508</v>
      </c>
      <c r="AZ30" s="125" t="s">
        <v>508</v>
      </c>
      <c r="BA30" s="125" t="s">
        <v>508</v>
      </c>
    </row>
    <row r="31" spans="1:53" ht="108" x14ac:dyDescent="0.25">
      <c r="A31" s="457" t="s">
        <v>292</v>
      </c>
      <c r="B31" s="440">
        <v>1</v>
      </c>
      <c r="C31" s="262"/>
      <c r="D31" s="279" t="s">
        <v>724</v>
      </c>
      <c r="E31" s="279"/>
      <c r="F31" s="279"/>
      <c r="G31" s="298" t="s">
        <v>915</v>
      </c>
      <c r="H31" s="493" t="s">
        <v>916</v>
      </c>
      <c r="I31" s="493" t="s">
        <v>917</v>
      </c>
      <c r="J31" s="443" t="s">
        <v>727</v>
      </c>
      <c r="K31" s="441">
        <v>3</v>
      </c>
      <c r="L31" s="440">
        <v>5</v>
      </c>
      <c r="M31" s="438">
        <f t="shared" si="9"/>
        <v>15</v>
      </c>
      <c r="N31" s="445" t="str">
        <f t="shared" si="10"/>
        <v>EXTREMO</v>
      </c>
      <c r="O31" s="299" t="s">
        <v>918</v>
      </c>
      <c r="P31" s="276" t="s">
        <v>729</v>
      </c>
      <c r="Q31" s="279" t="s">
        <v>730</v>
      </c>
      <c r="R31" s="279" t="s">
        <v>772</v>
      </c>
      <c r="S31" s="269" t="s">
        <v>732</v>
      </c>
      <c r="T31" s="280">
        <f>IF(S31="Asignado",[9]Listas!$C$30,[9]Listas!$C$31)</f>
        <v>15</v>
      </c>
      <c r="U31" s="269" t="s">
        <v>733</v>
      </c>
      <c r="V31" s="280">
        <f>IF(U31="Adecuado",[9]Listas!$C$32,[9]Listas!$C$33)</f>
        <v>15</v>
      </c>
      <c r="W31" s="269" t="s">
        <v>734</v>
      </c>
      <c r="X31" s="280">
        <f>IF(W31="Oportuna",[9]Listas!$C$34,[9]Listas!$C$35)</f>
        <v>15</v>
      </c>
      <c r="Y31" s="269" t="s">
        <v>888</v>
      </c>
      <c r="Z31" s="280">
        <f>IF(Y31="Prevenir",[9]Listas!$C$36,IF(Y31="Detectar",[9]Listas!$C$37,[9]Listas!$C$38))</f>
        <v>0</v>
      </c>
      <c r="AA31" s="269" t="s">
        <v>736</v>
      </c>
      <c r="AB31" s="280">
        <f>IF(AA31="Confiable",[9]Listas!$C$39,[9]Listas!$C$40)</f>
        <v>15</v>
      </c>
      <c r="AC31" s="269" t="s">
        <v>784</v>
      </c>
      <c r="AD31" s="280">
        <f>IF(AC31="Se investigan y resuelven oportunamente",[9]Listas!$C$41,[9]Listas!$C$42)</f>
        <v>0</v>
      </c>
      <c r="AE31" s="269" t="s">
        <v>890</v>
      </c>
      <c r="AF31" s="280">
        <f>IF(AE31="Completa",[9]Listas!$C$43,IF(AE31="Incompleta",[9]Listas!$C$44,[9]Listas!$C$45))</f>
        <v>5</v>
      </c>
      <c r="AG31" s="276">
        <f t="shared" si="11"/>
        <v>65</v>
      </c>
      <c r="AH31" s="440">
        <v>63</v>
      </c>
      <c r="AI31" s="441">
        <v>3</v>
      </c>
      <c r="AJ31" s="440">
        <v>5</v>
      </c>
      <c r="AK31" s="438">
        <f>AI31*AJ31</f>
        <v>15</v>
      </c>
      <c r="AL31" s="439" t="str">
        <f>IF(AND(AI31=1,AJ31=1),"BAJO",IF(AND(AI31=1,AJ31=2),"BAJO",IF(AND(AI31=2,AJ31=1),"BAJO",IF(AND(AI31=2,AJ31=2),"BAJO",IF(AND(AI31=3,AJ31=1),"BAJO",IF(AND(AI31=1,AJ31=3),"MODERADO",IF(AND(AI31=2,AJ31=3),"MODERADO",IF(AND(AI31=3,AJ31=2),"MODERADO",IF(AND(AI31=4,AJ31=1),"MODERADO",IF(AND(AI31=5,AJ31=1),"ALTO",IF(AND(AI31=4,AJ31=2),"ALTO",IF(AND(AI31=3,AJ31=3),"ALTO",IF(AND(AI31=2,AJ31=4),"ALTO",IF(AND(AI31=1,AJ31=4),"ALTO",IF(AND(AI31=5,AJ31=2),"ALTO",IF(AND(AI31=4,AJ31=3),"ALTO","EXTREMO"))))))))))))))))</f>
        <v>EXTREMO</v>
      </c>
      <c r="AM31" s="433" t="s">
        <v>785</v>
      </c>
      <c r="AN31" s="436" t="s">
        <v>919</v>
      </c>
      <c r="AO31" s="436" t="s">
        <v>920</v>
      </c>
      <c r="AP31" s="436" t="s">
        <v>921</v>
      </c>
      <c r="AQ31" s="435" t="s">
        <v>922</v>
      </c>
      <c r="AR31" s="436" t="s">
        <v>923</v>
      </c>
      <c r="AS31" s="120"/>
      <c r="AT31" s="125" t="s">
        <v>937</v>
      </c>
      <c r="AU31" s="125" t="s">
        <v>929</v>
      </c>
      <c r="AV31" s="314" t="s">
        <v>942</v>
      </c>
      <c r="AW31" s="125" t="s">
        <v>929</v>
      </c>
      <c r="AX31" s="498" t="s">
        <v>945</v>
      </c>
      <c r="AY31" s="500" t="s">
        <v>946</v>
      </c>
      <c r="AZ31" s="498" t="s">
        <v>947</v>
      </c>
      <c r="BA31" s="498" t="s">
        <v>948</v>
      </c>
    </row>
    <row r="32" spans="1:53" ht="148.5" x14ac:dyDescent="0.25">
      <c r="A32" s="457"/>
      <c r="B32" s="440"/>
      <c r="C32" s="262"/>
      <c r="D32" s="279"/>
      <c r="E32" s="279"/>
      <c r="F32" s="279"/>
      <c r="G32" s="298" t="s">
        <v>924</v>
      </c>
      <c r="H32" s="493"/>
      <c r="I32" s="493"/>
      <c r="J32" s="443"/>
      <c r="K32" s="441"/>
      <c r="L32" s="440"/>
      <c r="M32" s="438"/>
      <c r="N32" s="445"/>
      <c r="O32" s="300" t="s">
        <v>925</v>
      </c>
      <c r="P32" s="276" t="s">
        <v>729</v>
      </c>
      <c r="Q32" s="279" t="s">
        <v>730</v>
      </c>
      <c r="R32" s="279" t="s">
        <v>730</v>
      </c>
      <c r="S32" s="269" t="s">
        <v>732</v>
      </c>
      <c r="T32" s="280">
        <f>IF(S32="Asignado",[9]Listas!$C$30,[9]Listas!$C$31)</f>
        <v>15</v>
      </c>
      <c r="U32" s="269" t="s">
        <v>733</v>
      </c>
      <c r="V32" s="280">
        <f>IF(U32="Adecuado",[9]Listas!$C$32,[9]Listas!$C$33)</f>
        <v>15</v>
      </c>
      <c r="W32" s="269" t="s">
        <v>734</v>
      </c>
      <c r="X32" s="280">
        <f>IF(W32="Oportuna",[9]Listas!$C$34,[9]Listas!$C$35)</f>
        <v>15</v>
      </c>
      <c r="Y32" s="269" t="s">
        <v>735</v>
      </c>
      <c r="Z32" s="280">
        <f>IF(Y32="Prevenir",[9]Listas!$C$36,IF(Y32="Detectar",[9]Listas!$C$37,[9]Listas!$C$38))</f>
        <v>15</v>
      </c>
      <c r="AA32" s="269" t="s">
        <v>889</v>
      </c>
      <c r="AB32" s="280">
        <f>IF(AA32="Confiable",[9]Listas!$C$39,[9]Listas!$C$40)</f>
        <v>0</v>
      </c>
      <c r="AC32" s="269" t="s">
        <v>784</v>
      </c>
      <c r="AD32" s="280">
        <f>IF(AC32="Se investigan y resuelven oportunamente",[9]Listas!$C$41,[9]Listas!$C$42)</f>
        <v>0</v>
      </c>
      <c r="AE32" s="269" t="s">
        <v>900</v>
      </c>
      <c r="AF32" s="280">
        <f>IF(AE32="Completa",[9]Listas!$C$43,IF(AE32="Incompleta",[9]Listas!$C$44,[9]Listas!$C$45))</f>
        <v>0</v>
      </c>
      <c r="AG32" s="276">
        <f t="shared" si="11"/>
        <v>60</v>
      </c>
      <c r="AH32" s="440"/>
      <c r="AI32" s="441"/>
      <c r="AJ32" s="440"/>
      <c r="AK32" s="438"/>
      <c r="AL32" s="439"/>
      <c r="AM32" s="433"/>
      <c r="AN32" s="436"/>
      <c r="AO32" s="436"/>
      <c r="AP32" s="436"/>
      <c r="AQ32" s="435"/>
      <c r="AR32" s="436"/>
      <c r="AS32" s="120"/>
      <c r="AT32" s="125" t="s">
        <v>937</v>
      </c>
      <c r="AU32" s="125" t="s">
        <v>929</v>
      </c>
      <c r="AV32" s="314" t="s">
        <v>943</v>
      </c>
      <c r="AW32" s="125" t="s">
        <v>929</v>
      </c>
      <c r="AX32" s="499"/>
      <c r="AY32" s="501"/>
      <c r="AZ32" s="499"/>
      <c r="BA32" s="499"/>
    </row>
    <row r="33" spans="1:53" ht="175.5" x14ac:dyDescent="0.25">
      <c r="A33" s="457"/>
      <c r="B33" s="301">
        <v>2</v>
      </c>
      <c r="C33" s="262"/>
      <c r="D33" s="279" t="s">
        <v>724</v>
      </c>
      <c r="E33" s="279"/>
      <c r="F33" s="279"/>
      <c r="G33" s="298" t="s">
        <v>924</v>
      </c>
      <c r="H33" s="298" t="s">
        <v>926</v>
      </c>
      <c r="I33" s="302" t="s">
        <v>917</v>
      </c>
      <c r="J33" s="257" t="s">
        <v>727</v>
      </c>
      <c r="K33" s="264">
        <v>3</v>
      </c>
      <c r="L33" s="263">
        <v>4</v>
      </c>
      <c r="M33" s="265">
        <f>K33*L33</f>
        <v>12</v>
      </c>
      <c r="N33" s="266" t="str">
        <f>IF(AND(K33=1,L33=1),"BAJO",IF(AND(K33=1,L33=2),"BAJO",IF(AND(K33=2,L33=1),"BAJO",IF(AND(K33=2,L33=2),"BAJO",IF(AND(K33=3,L33=1),"BAJO",IF(AND(K33=1,L33=3),"MODERADO",IF(AND(K33=2,L33=3),"MODERADO",IF(AND(K33=3,L33=2),"MODERADO",IF(AND(K33=4,L33=1),"MODERADO",IF(AND(K33=5,L33=1),"ALTO",IF(AND(K33=4,L33=2),"ALTO",IF(AND(K33=3,L33=3),"ALTO",IF(AND(K33=2,L33=4),"ALTO",IF(AND(K33=1,L33=4),"ALTO",IF(AND(K33=5,L33=2),"ALTO",IF(AND(K33=4,L33=3),"ALTO","EXTREMO"))))))))))))))))</f>
        <v>EXTREMO</v>
      </c>
      <c r="O33" s="267" t="s">
        <v>927</v>
      </c>
      <c r="P33" s="276" t="s">
        <v>729</v>
      </c>
      <c r="Q33" s="279" t="s">
        <v>730</v>
      </c>
      <c r="R33" s="279" t="s">
        <v>730</v>
      </c>
      <c r="S33" s="269" t="s">
        <v>732</v>
      </c>
      <c r="T33" s="280">
        <f>IF(S33="Asignado",[9]Listas!$C$30,[9]Listas!$C$31)</f>
        <v>15</v>
      </c>
      <c r="U33" s="269" t="s">
        <v>733</v>
      </c>
      <c r="V33" s="280">
        <f>IF(U33="Adecuado",[9]Listas!$C$32,[9]Listas!$C$33)</f>
        <v>15</v>
      </c>
      <c r="W33" s="269" t="s">
        <v>734</v>
      </c>
      <c r="X33" s="280">
        <f>IF(W33="Oportuna",[9]Listas!$C$34,[9]Listas!$C$35)</f>
        <v>15</v>
      </c>
      <c r="Y33" s="269" t="s">
        <v>735</v>
      </c>
      <c r="Z33" s="280">
        <f>IF(Y33="Prevenir",[9]Listas!$C$36,IF(Y33="Detectar",[9]Listas!$C$37,[9]Listas!$C$38))</f>
        <v>15</v>
      </c>
      <c r="AA33" s="269" t="s">
        <v>736</v>
      </c>
      <c r="AB33" s="280">
        <f>IF(AA33="Confiable",[9]Listas!$C$39,[9]Listas!$C$40)</f>
        <v>15</v>
      </c>
      <c r="AC33" s="269" t="s">
        <v>737</v>
      </c>
      <c r="AD33" s="280">
        <f>IF(AC33="Se investigan y resuelven oportunamente",[9]Listas!$C$41,[9]Listas!$C$42)</f>
        <v>15</v>
      </c>
      <c r="AE33" s="269" t="s">
        <v>738</v>
      </c>
      <c r="AF33" s="280">
        <f>IF(AE33="Completa",[9]Listas!$C$43,IF(AE33="Incompleta",[9]Listas!$C$44,[9]Listas!$C$45))</f>
        <v>10</v>
      </c>
      <c r="AG33" s="276">
        <f t="shared" si="11"/>
        <v>100</v>
      </c>
      <c r="AH33" s="263">
        <f>AVERAGE(AG33:AG33)</f>
        <v>100</v>
      </c>
      <c r="AI33" s="264">
        <v>1</v>
      </c>
      <c r="AJ33" s="263">
        <v>2</v>
      </c>
      <c r="AK33" s="265">
        <f>AI33*AJ33</f>
        <v>2</v>
      </c>
      <c r="AL33" s="271" t="str">
        <f>IF(AND(AI33=1,AJ33=1),"BAJO",IF(AND(AI33=1,AJ33=2),"BAJO",IF(AND(AI33=2,AJ33=1),"BAJO",IF(AND(AI33=2,AJ33=2),"BAJO",IF(AND(AI33=3,AJ33=1),"BAJO",IF(AND(AI33=1,AJ33=3),"MODERADO",IF(AND(AI33=2,AJ33=3),"MODERADO",IF(AND(AI33=3,AJ33=2),"MODERADO",IF(AND(AI33=4,AJ33=1),"MODERADO",IF(AND(AI33=5,AJ33=1),"ALTO",IF(AND(AI33=4,AJ33=2),"ALTO",IF(AND(AI33=3,AJ33=3),"ALTO",IF(AND(AI33=2,AJ33=4),"ALTO",IF(AND(AI33=1,AJ33=4),"ALTO",IF(AND(AI33=5,AJ33=2),"ALTO",IF(AND(AI33=4,AJ33=3),"ALTO","EXTREMO"))))))))))))))))</f>
        <v>BAJO</v>
      </c>
      <c r="AM33" s="269"/>
      <c r="AN33" s="272"/>
      <c r="AO33" s="272"/>
      <c r="AP33" s="272"/>
      <c r="AQ33" s="273"/>
      <c r="AR33" s="272"/>
      <c r="AS33" s="120"/>
      <c r="AT33" s="125" t="s">
        <v>937</v>
      </c>
      <c r="AU33" s="125" t="s">
        <v>929</v>
      </c>
      <c r="AV33" s="314" t="s">
        <v>944</v>
      </c>
      <c r="AW33" s="125" t="s">
        <v>929</v>
      </c>
      <c r="AX33" s="314" t="s">
        <v>508</v>
      </c>
      <c r="AY33" s="125" t="s">
        <v>508</v>
      </c>
      <c r="AZ33" s="314" t="s">
        <v>508</v>
      </c>
      <c r="BA33" s="314" t="s">
        <v>508</v>
      </c>
    </row>
    <row r="34" spans="1:53" ht="240" x14ac:dyDescent="0.25">
      <c r="A34" s="463" t="s">
        <v>2</v>
      </c>
      <c r="B34" s="440">
        <v>7</v>
      </c>
      <c r="C34" s="450" t="s">
        <v>779</v>
      </c>
      <c r="D34" s="279" t="s">
        <v>833</v>
      </c>
      <c r="E34" s="279"/>
      <c r="F34" s="279"/>
      <c r="G34" s="304" t="s">
        <v>834</v>
      </c>
      <c r="H34" s="450" t="s">
        <v>835</v>
      </c>
      <c r="I34" s="442" t="s">
        <v>836</v>
      </c>
      <c r="J34" s="443" t="s">
        <v>727</v>
      </c>
      <c r="K34" s="441">
        <v>3</v>
      </c>
      <c r="L34" s="440">
        <v>5</v>
      </c>
      <c r="M34" s="438">
        <f>K34*L34</f>
        <v>15</v>
      </c>
      <c r="N34" s="445" t="str">
        <f>IF(AND(K34=1,L34=1),"BAJO",IF(AND(K34=1,L34=2),"BAJO",IF(AND(K34=2,L34=1),"BAJO",IF(AND(K34=2,L34=2),"BAJO",IF(AND(K34=3,L34=1),"BAJO",IF(AND(K34=1,L34=3),"MODERADO",IF(AND(K34=2,L34=3),"MODERADO",IF(AND(K34=3,L34=2),"MODERADO",IF(AND(K34=4,L34=1),"MODERADO",IF(AND(K34=5,L34=1),"ALTO",IF(AND(K34=4,L34=2),"ALTO",IF(AND(K34=3,L34=3),"ALTO",IF(AND(K34=2,L34=4),"ALTO",IF(AND(K34=1,L34=4),"ALTO",IF(AND(K34=5,L34=2),"ALTO",IF(AND(K34=4,L34=3),"ALTO","EXTREMO"))))))))))))))))</f>
        <v>EXTREMO</v>
      </c>
      <c r="O34" s="272" t="s">
        <v>837</v>
      </c>
      <c r="P34" s="276" t="s">
        <v>729</v>
      </c>
      <c r="Q34" s="279" t="s">
        <v>772</v>
      </c>
      <c r="R34" s="279" t="s">
        <v>730</v>
      </c>
      <c r="S34" s="269" t="s">
        <v>732</v>
      </c>
      <c r="T34" s="280">
        <f>IF(S34="Asignado",[10]Listas!$C$30,[10]Listas!$C$31)</f>
        <v>15</v>
      </c>
      <c r="U34" s="269" t="s">
        <v>733</v>
      </c>
      <c r="V34" s="280">
        <f>IF(U34="Adecuado",[10]Listas!$C$32,[10]Listas!$C$33)</f>
        <v>15</v>
      </c>
      <c r="W34" s="269" t="s">
        <v>734</v>
      </c>
      <c r="X34" s="280">
        <f>IF(W34="Oportuna",[10]Listas!$C$34,[10]Listas!$C$35)</f>
        <v>15</v>
      </c>
      <c r="Y34" s="269" t="s">
        <v>735</v>
      </c>
      <c r="Z34" s="280">
        <f>IF(Y34="Prevenir",[10]Listas!$C$36,IF(Y34="Detectar",[10]Listas!$C$37,[10]Listas!$C$38))</f>
        <v>15</v>
      </c>
      <c r="AA34" s="269" t="s">
        <v>736</v>
      </c>
      <c r="AB34" s="280">
        <f>IF(AA34="Confiable",[10]Listas!$C$39,[10]Listas!$C$40)</f>
        <v>15</v>
      </c>
      <c r="AC34" s="269" t="s">
        <v>737</v>
      </c>
      <c r="AD34" s="280">
        <f>IF(AC34="Se investigan y resuelven oportunamente",[10]Listas!$C$41,[10]Listas!$C$42)</f>
        <v>15</v>
      </c>
      <c r="AE34" s="269" t="s">
        <v>738</v>
      </c>
      <c r="AF34" s="280">
        <f>IF(AE34="Completa",[10]Listas!$C$43,IF(AE34="Incompleta",[10]Listas!$C$44,[10]Listas!$C$45))</f>
        <v>10</v>
      </c>
      <c r="AG34" s="276">
        <f t="shared" si="11"/>
        <v>100</v>
      </c>
      <c r="AH34" s="440">
        <f>AVERAGE(AG34:AG35)</f>
        <v>100</v>
      </c>
      <c r="AI34" s="441">
        <v>1</v>
      </c>
      <c r="AJ34" s="440">
        <v>3</v>
      </c>
      <c r="AK34" s="438">
        <f>AI34*AJ34</f>
        <v>3</v>
      </c>
      <c r="AL34" s="445" t="str">
        <f>IF(AND(AI34=1,AJ34=1),"BAJO",IF(AND(AI34=1,AJ34=2),"BAJO",IF(AND(AI34=2,AJ34=1),"BAJO",IF(AND(AI34=2,AJ34=2),"BAJO",IF(AND(AI34=3,AJ34=1),"BAJO",IF(AND(AI34=1,AJ34=3),"MODERADO",IF(AND(AI34=2,AJ34=3),"MODERADO",IF(AND(AI34=3,AJ34=2),"MODERADO",IF(AND(AI34=4,AJ34=1),"MODERADO",IF(AND(AI34=5,AJ34=1),"ALTO",IF(AND(AI34=4,AJ34=2),"ALTO",IF(AND(AI34=3,AJ34=3),"ALTO",IF(AND(AI34=2,AJ34=4),"ALTO",IF(AND(AI34=1,AJ34=4),"ALTO",IF(AND(AI34=5,AJ34=2),"ALTO",IF(AND(AI34=4,AJ34=3),"ALTO","EXTREMO"))))))))))))))))</f>
        <v>MODERADO</v>
      </c>
      <c r="AM34" s="433" t="s">
        <v>739</v>
      </c>
      <c r="AN34" s="451" t="s">
        <v>838</v>
      </c>
      <c r="AO34" s="436" t="s">
        <v>839</v>
      </c>
      <c r="AP34" s="436" t="s">
        <v>840</v>
      </c>
      <c r="AQ34" s="452" t="s">
        <v>841</v>
      </c>
      <c r="AR34" s="436" t="s">
        <v>842</v>
      </c>
      <c r="AS34" s="120"/>
      <c r="AT34" s="315" t="s">
        <v>937</v>
      </c>
      <c r="AU34" s="315" t="s">
        <v>929</v>
      </c>
      <c r="AV34" s="317" t="s">
        <v>963</v>
      </c>
      <c r="AW34" s="125" t="s">
        <v>929</v>
      </c>
      <c r="AX34" s="316">
        <v>0.5</v>
      </c>
      <c r="AY34" s="316">
        <v>0.5</v>
      </c>
      <c r="AZ34" s="122" t="s">
        <v>964</v>
      </c>
      <c r="BA34" s="122" t="s">
        <v>965</v>
      </c>
    </row>
    <row r="35" spans="1:53" ht="90" x14ac:dyDescent="0.25">
      <c r="A35" s="463"/>
      <c r="B35" s="440"/>
      <c r="C35" s="450"/>
      <c r="D35" s="279" t="s">
        <v>724</v>
      </c>
      <c r="E35" s="279"/>
      <c r="F35" s="279"/>
      <c r="G35" s="304" t="s">
        <v>843</v>
      </c>
      <c r="H35" s="450"/>
      <c r="I35" s="442"/>
      <c r="J35" s="443"/>
      <c r="K35" s="441"/>
      <c r="L35" s="440"/>
      <c r="M35" s="438"/>
      <c r="N35" s="445"/>
      <c r="O35" s="304" t="s">
        <v>844</v>
      </c>
      <c r="P35" s="276" t="s">
        <v>729</v>
      </c>
      <c r="Q35" s="279" t="s">
        <v>730</v>
      </c>
      <c r="R35" s="279" t="s">
        <v>731</v>
      </c>
      <c r="S35" s="269" t="s">
        <v>732</v>
      </c>
      <c r="T35" s="280">
        <f>IF(S35="Asignado",[10]Listas!$C$30,[10]Listas!$C$31)</f>
        <v>15</v>
      </c>
      <c r="U35" s="269" t="s">
        <v>733</v>
      </c>
      <c r="V35" s="280">
        <f>IF(U35="Adecuado",[10]Listas!$C$32,[10]Listas!$C$33)</f>
        <v>15</v>
      </c>
      <c r="W35" s="269" t="s">
        <v>734</v>
      </c>
      <c r="X35" s="280">
        <f>IF(W35="Oportuna",[10]Listas!$C$34,[10]Listas!$C$35)</f>
        <v>15</v>
      </c>
      <c r="Y35" s="269" t="s">
        <v>735</v>
      </c>
      <c r="Z35" s="280">
        <f>IF(Y35="Prevenir",[10]Listas!$C$36,IF(Y35="Detectar",[10]Listas!$C$37,[10]Listas!$C$38))</f>
        <v>15</v>
      </c>
      <c r="AA35" s="269" t="s">
        <v>736</v>
      </c>
      <c r="AB35" s="280">
        <f>IF(AA35="Confiable",[10]Listas!$C$39,[10]Listas!$C$40)</f>
        <v>15</v>
      </c>
      <c r="AC35" s="269" t="s">
        <v>737</v>
      </c>
      <c r="AD35" s="280">
        <f>IF(AC35="Se investigan y resuelven oportunamente",[10]Listas!$C$41,[10]Listas!$C$42)</f>
        <v>15</v>
      </c>
      <c r="AE35" s="269" t="s">
        <v>738</v>
      </c>
      <c r="AF35" s="280">
        <f>IF(AE35="Completa",[10]Listas!$C$43,IF(AE35="Incompleta",[10]Listas!$C$44,[10]Listas!$C$45))</f>
        <v>10</v>
      </c>
      <c r="AG35" s="276">
        <f t="shared" si="11"/>
        <v>100</v>
      </c>
      <c r="AH35" s="440"/>
      <c r="AI35" s="441"/>
      <c r="AJ35" s="440"/>
      <c r="AK35" s="438"/>
      <c r="AL35" s="445"/>
      <c r="AM35" s="433"/>
      <c r="AN35" s="451"/>
      <c r="AO35" s="436"/>
      <c r="AP35" s="436"/>
      <c r="AQ35" s="453"/>
      <c r="AR35" s="436"/>
      <c r="AS35" s="120"/>
      <c r="AT35" s="315"/>
      <c r="AU35" s="315" t="s">
        <v>929</v>
      </c>
      <c r="AV35" s="122" t="s">
        <v>966</v>
      </c>
      <c r="AW35" s="125"/>
      <c r="AX35" s="120"/>
      <c r="AY35" s="120"/>
      <c r="AZ35" s="120"/>
      <c r="BA35" s="120"/>
    </row>
    <row r="36" spans="1:53" ht="90" x14ac:dyDescent="0.25">
      <c r="A36" s="463"/>
      <c r="B36" s="440">
        <v>8</v>
      </c>
      <c r="C36" s="433" t="s">
        <v>779</v>
      </c>
      <c r="D36" s="279" t="s">
        <v>745</v>
      </c>
      <c r="E36" s="279"/>
      <c r="F36" s="279"/>
      <c r="G36" s="304" t="s">
        <v>845</v>
      </c>
      <c r="H36" s="433" t="s">
        <v>846</v>
      </c>
      <c r="I36" s="492" t="s">
        <v>847</v>
      </c>
      <c r="J36" s="443" t="s">
        <v>727</v>
      </c>
      <c r="K36" s="441">
        <v>3</v>
      </c>
      <c r="L36" s="440">
        <v>5</v>
      </c>
      <c r="M36" s="438">
        <f t="shared" ref="M36" si="12">K36*L36</f>
        <v>15</v>
      </c>
      <c r="N36" s="445" t="str">
        <f t="shared" ref="N36" si="13">IF(AND(K36=1,L36=1),"BAJO",IF(AND(K36=1,L36=2),"BAJO",IF(AND(K36=2,L36=1),"BAJO",IF(AND(K36=2,L36=2),"BAJO",IF(AND(K36=3,L36=1),"BAJO",IF(AND(K36=1,L36=3),"MODERADO",IF(AND(K36=2,L36=3),"MODERADO",IF(AND(K36=3,L36=2),"MODERADO",IF(AND(K36=4,L36=1),"MODERADO",IF(AND(K36=5,L36=1),"ALTO",IF(AND(K36=4,L36=2),"ALTO",IF(AND(K36=3,L36=3),"ALTO",IF(AND(K36=2,L36=4),"ALTO",IF(AND(K36=1,L36=4),"ALTO",IF(AND(K36=5,L36=2),"ALTO",IF(AND(K36=4,L36=3),"ALTO","EXTREMO"))))))))))))))))</f>
        <v>EXTREMO</v>
      </c>
      <c r="O36" s="451" t="s">
        <v>848</v>
      </c>
      <c r="P36" s="440" t="s">
        <v>729</v>
      </c>
      <c r="Q36" s="436" t="s">
        <v>730</v>
      </c>
      <c r="R36" s="436" t="s">
        <v>731</v>
      </c>
      <c r="S36" s="433" t="s">
        <v>732</v>
      </c>
      <c r="T36" s="433">
        <f>IF(S36="Asignado",[10]Listas!$C$30,[10]Listas!$C$31)</f>
        <v>15</v>
      </c>
      <c r="U36" s="433" t="s">
        <v>733</v>
      </c>
      <c r="V36" s="433">
        <f>IF(U36="Adecuado",[10]Listas!$C$32,[10]Listas!$C$33)</f>
        <v>15</v>
      </c>
      <c r="W36" s="433" t="s">
        <v>734</v>
      </c>
      <c r="X36" s="433">
        <f>IF(W36="Oportuna",[10]Listas!$C$34,[10]Listas!$C$35)</f>
        <v>15</v>
      </c>
      <c r="Y36" s="433" t="s">
        <v>735</v>
      </c>
      <c r="Z36" s="433">
        <f>IF(Y36="Prevenir",[10]Listas!$C$36,IF(Y36="Detectar",[10]Listas!$C$37,[10]Listas!$C$38))</f>
        <v>15</v>
      </c>
      <c r="AA36" s="433" t="s">
        <v>736</v>
      </c>
      <c r="AB36" s="433">
        <f>IF(AA36="Confiable",[10]Listas!$C$39,[10]Listas!$C$40)</f>
        <v>15</v>
      </c>
      <c r="AC36" s="433" t="s">
        <v>737</v>
      </c>
      <c r="AD36" s="433">
        <f>IF(AC36="Se investigan y resuelven oportunamente",[10]Listas!$C$41,[10]Listas!$C$42)</f>
        <v>15</v>
      </c>
      <c r="AE36" s="433" t="s">
        <v>738</v>
      </c>
      <c r="AF36" s="433">
        <f>IF(AE36="Completa",[10]Listas!$C$43,IF(AE36="Incompleta",[10]Listas!$C$44,[10]Listas!$C$45))</f>
        <v>10</v>
      </c>
      <c r="AG36" s="440">
        <f>T36+V36+X36+Z36+AB36+AD36+AF36</f>
        <v>100</v>
      </c>
      <c r="AH36" s="440">
        <f>AVERAGE(AG36:AG37)</f>
        <v>100</v>
      </c>
      <c r="AI36" s="441">
        <v>1</v>
      </c>
      <c r="AJ36" s="440">
        <v>5</v>
      </c>
      <c r="AK36" s="438">
        <f>+AI36*AJ36</f>
        <v>5</v>
      </c>
      <c r="AL36" s="445" t="str">
        <f t="shared" ref="AL36" si="14">IF(AND(AI36=1,AJ36=1),"BAJO",IF(AND(AI36=1,AJ36=2),"BAJO",IF(AND(AI36=2,AJ36=1),"BAJO",IF(AND(AI36=2,AJ36=2),"BAJO",IF(AND(AI36=3,AJ36=1),"BAJO",IF(AND(AI36=1,AJ36=3),"MODERADO",IF(AND(AI36=2,AJ36=3),"MODERADO",IF(AND(AI36=3,AJ36=2),"MODERADO",IF(AND(AI36=4,AJ36=1),"MODERADO",IF(AND(AI36=5,AJ36=1),"ALTO",IF(AND(AI36=4,AJ36=2),"ALTO",IF(AND(AI36=3,AJ36=3),"ALTO",IF(AND(AI36=2,AJ36=4),"ALTO",IF(AND(AI36=1,AJ36=4),"ALTO",IF(AND(AI36=5,AJ36=2),"ALTO",IF(AND(AI36=4,AJ36=3),"ALTO","EXTREMO"))))))))))))))))</f>
        <v>EXTREMO</v>
      </c>
      <c r="AM36" s="433" t="s">
        <v>739</v>
      </c>
      <c r="AN36" s="451" t="s">
        <v>849</v>
      </c>
      <c r="AO36" s="436" t="s">
        <v>850</v>
      </c>
      <c r="AP36" s="436" t="s">
        <v>840</v>
      </c>
      <c r="AQ36" s="437" t="s">
        <v>841</v>
      </c>
      <c r="AR36" s="436" t="s">
        <v>851</v>
      </c>
      <c r="AS36" s="120"/>
      <c r="AT36" s="315" t="s">
        <v>937</v>
      </c>
      <c r="AU36" s="315" t="s">
        <v>929</v>
      </c>
      <c r="AV36" s="122" t="s">
        <v>967</v>
      </c>
      <c r="AW36" s="125" t="s">
        <v>929</v>
      </c>
      <c r="AX36" s="316">
        <v>0.5</v>
      </c>
      <c r="AY36" s="316">
        <v>0.5</v>
      </c>
      <c r="AZ36" s="122" t="s">
        <v>968</v>
      </c>
      <c r="BA36" s="122" t="s">
        <v>969</v>
      </c>
    </row>
    <row r="37" spans="1:53" ht="27" x14ac:dyDescent="0.25">
      <c r="A37" s="463"/>
      <c r="B37" s="440"/>
      <c r="C37" s="433"/>
      <c r="D37" s="279" t="s">
        <v>833</v>
      </c>
      <c r="E37" s="279" t="s">
        <v>852</v>
      </c>
      <c r="F37" s="279"/>
      <c r="G37" s="304" t="s">
        <v>853</v>
      </c>
      <c r="H37" s="433"/>
      <c r="I37" s="492"/>
      <c r="J37" s="443"/>
      <c r="K37" s="441"/>
      <c r="L37" s="440"/>
      <c r="M37" s="438"/>
      <c r="N37" s="445"/>
      <c r="O37" s="451"/>
      <c r="P37" s="440"/>
      <c r="Q37" s="436"/>
      <c r="R37" s="436"/>
      <c r="S37" s="433"/>
      <c r="T37" s="433"/>
      <c r="U37" s="433"/>
      <c r="V37" s="433"/>
      <c r="W37" s="433"/>
      <c r="X37" s="433"/>
      <c r="Y37" s="433"/>
      <c r="Z37" s="433"/>
      <c r="AA37" s="433"/>
      <c r="AB37" s="433"/>
      <c r="AC37" s="433"/>
      <c r="AD37" s="433"/>
      <c r="AE37" s="433"/>
      <c r="AF37" s="433"/>
      <c r="AG37" s="440"/>
      <c r="AH37" s="440"/>
      <c r="AI37" s="441"/>
      <c r="AJ37" s="440"/>
      <c r="AK37" s="438"/>
      <c r="AL37" s="445"/>
      <c r="AM37" s="433"/>
      <c r="AN37" s="451"/>
      <c r="AO37" s="436"/>
      <c r="AP37" s="436"/>
      <c r="AQ37" s="436"/>
      <c r="AR37" s="436"/>
      <c r="AS37" s="120"/>
      <c r="AT37" s="120"/>
      <c r="AU37" s="120"/>
      <c r="AV37" s="120"/>
      <c r="AW37" s="120"/>
      <c r="AX37" s="120"/>
      <c r="AY37" s="120"/>
      <c r="AZ37" s="120"/>
      <c r="BA37" s="120"/>
    </row>
    <row r="38" spans="1:53" ht="225" x14ac:dyDescent="0.25">
      <c r="A38" s="449" t="s">
        <v>344</v>
      </c>
      <c r="B38" s="440">
        <v>3</v>
      </c>
      <c r="C38" s="450" t="s">
        <v>779</v>
      </c>
      <c r="D38" s="279" t="s">
        <v>724</v>
      </c>
      <c r="E38" s="279"/>
      <c r="F38" s="279" t="s">
        <v>508</v>
      </c>
      <c r="G38" s="304" t="s">
        <v>780</v>
      </c>
      <c r="H38" s="433" t="s">
        <v>781</v>
      </c>
      <c r="I38" s="442" t="s">
        <v>782</v>
      </c>
      <c r="J38" s="443" t="s">
        <v>727</v>
      </c>
      <c r="K38" s="441">
        <v>1</v>
      </c>
      <c r="L38" s="440">
        <v>4</v>
      </c>
      <c r="M38" s="438">
        <f t="shared" ref="M38" si="15">K38*L38</f>
        <v>4</v>
      </c>
      <c r="N38" s="445" t="str">
        <f t="shared" ref="N38" si="16">IF(AND(K38=1,L38=1),"BAJO",IF(AND(K38=1,L38=2),"BAJO",IF(AND(K38=2,L38=1),"BAJO",IF(AND(K38=2,L38=2),"BAJO",IF(AND(K38=3,L38=1),"BAJO",IF(AND(K38=1,L38=3),"MODERADO",IF(AND(K38=2,L38=3),"MODERADO",IF(AND(K38=3,L38=2),"MODERADO",IF(AND(K38=4,L38=1),"MODERADO",IF(AND(K38=5,L38=1),"ALTO",IF(AND(K38=4,L38=2),"ALTO",IF(AND(K38=3,L38=3),"ALTO",IF(AND(K38=2,L38=4),"ALTO",IF(AND(K38=1,L38=4),"ALTO",IF(AND(K38=5,L38=2),"ALTO",IF(AND(K38=4,L38=3),"ALTO","EXTREMO"))))))))))))))))</f>
        <v>ALTO</v>
      </c>
      <c r="O38" s="272" t="s">
        <v>783</v>
      </c>
      <c r="P38" s="276" t="s">
        <v>729</v>
      </c>
      <c r="Q38" s="279" t="s">
        <v>730</v>
      </c>
      <c r="R38" s="279" t="s">
        <v>772</v>
      </c>
      <c r="S38" s="269" t="s">
        <v>732</v>
      </c>
      <c r="T38" s="280">
        <f>IF(S38="Asignado",[11]Listas!$C$30,[11]Listas!$C$31)</f>
        <v>15</v>
      </c>
      <c r="U38" s="269" t="s">
        <v>733</v>
      </c>
      <c r="V38" s="280">
        <f>IF(U38="Adecuado",[11]Listas!$C$32,[11]Listas!$C$33)</f>
        <v>15</v>
      </c>
      <c r="W38" s="269" t="s">
        <v>734</v>
      </c>
      <c r="X38" s="280">
        <f>IF(W38="Oportuna",[11]Listas!$C$34,[11]Listas!$C$35)</f>
        <v>15</v>
      </c>
      <c r="Y38" s="269" t="s">
        <v>735</v>
      </c>
      <c r="Z38" s="280">
        <f>IF(Y38="Prevenir",[11]Listas!$C$36,IF(Y38="Detectar",[11]Listas!$C$37,[11]Listas!$C$38))</f>
        <v>15</v>
      </c>
      <c r="AA38" s="269" t="s">
        <v>736</v>
      </c>
      <c r="AB38" s="280">
        <f>IF(AA38="Confiable",[11]Listas!$C$39,[11]Listas!$C$40)</f>
        <v>15</v>
      </c>
      <c r="AC38" s="269" t="s">
        <v>784</v>
      </c>
      <c r="AD38" s="280">
        <f>IF(AC38="Se investigan y resuelven oportunamente",[11]Listas!$C$41,[11]Listas!$C$42)</f>
        <v>0</v>
      </c>
      <c r="AE38" s="269" t="s">
        <v>738</v>
      </c>
      <c r="AF38" s="280">
        <f>IF(AE38="Completa",[11]Listas!$C$43,IF(AE38="Incompleta",[11]Listas!$C$44,[11]Listas!$C$45))</f>
        <v>10</v>
      </c>
      <c r="AG38" s="440">
        <f t="shared" ref="AG38" si="17">T38+V38+X38+Z38+AB38+AD38+AF38</f>
        <v>85</v>
      </c>
      <c r="AH38" s="440">
        <f>AVERAGE(AG38:AG40)</f>
        <v>85</v>
      </c>
      <c r="AI38" s="441">
        <v>1</v>
      </c>
      <c r="AJ38" s="440">
        <v>4</v>
      </c>
      <c r="AK38" s="438">
        <f>+AI38*AJ38</f>
        <v>4</v>
      </c>
      <c r="AL38" s="445" t="str">
        <f t="shared" ref="AL38" si="18">IF(AND(AI38=1,AJ38=1),"BAJO",IF(AND(AI38=1,AJ38=2),"BAJO",IF(AND(AI38=2,AJ38=1),"BAJO",IF(AND(AI38=2,AJ38=2),"BAJO",IF(AND(AI38=3,AJ38=1),"BAJO",IF(AND(AI38=1,AJ38=3),"MODERADO",IF(AND(AI38=2,AJ38=3),"MODERADO",IF(AND(AI38=3,AJ38=2),"MODERADO",IF(AND(AI38=4,AJ38=1),"MODERADO",IF(AND(AI38=5,AJ38=1),"ALTO",IF(AND(AI38=4,AJ38=2),"ALTO",IF(AND(AI38=3,AJ38=3),"ALTO",IF(AND(AI38=2,AJ38=4),"ALTO",IF(AND(AI38=1,AJ38=4),"ALTO",IF(AND(AI38=5,AJ38=2),"ALTO",IF(AND(AI38=4,AJ38=3),"ALTO","EXTREMO"))))))))))))))))</f>
        <v>ALTO</v>
      </c>
      <c r="AM38" s="433" t="s">
        <v>785</v>
      </c>
      <c r="AN38" s="451" t="s">
        <v>786</v>
      </c>
      <c r="AO38" s="436" t="s">
        <v>787</v>
      </c>
      <c r="AP38" s="436" t="s">
        <v>788</v>
      </c>
      <c r="AQ38" s="436" t="s">
        <v>789</v>
      </c>
      <c r="AR38" s="436" t="s">
        <v>790</v>
      </c>
      <c r="AS38" s="509"/>
      <c r="AT38" s="500" t="s">
        <v>937</v>
      </c>
      <c r="AU38" s="125" t="s">
        <v>929</v>
      </c>
      <c r="AV38" s="124" t="s">
        <v>959</v>
      </c>
      <c r="AW38" s="124" t="s">
        <v>960</v>
      </c>
      <c r="AX38" s="125">
        <v>50</v>
      </c>
      <c r="AY38" s="125">
        <v>50</v>
      </c>
      <c r="AZ38" s="122" t="s">
        <v>961</v>
      </c>
      <c r="BA38" s="122" t="s">
        <v>962</v>
      </c>
    </row>
    <row r="39" spans="1:53" ht="67.5" hidden="1" x14ac:dyDescent="0.25">
      <c r="A39" s="449"/>
      <c r="B39" s="440"/>
      <c r="C39" s="450"/>
      <c r="D39" s="279" t="s">
        <v>724</v>
      </c>
      <c r="E39" s="279"/>
      <c r="F39" s="279"/>
      <c r="G39" s="304" t="s">
        <v>791</v>
      </c>
      <c r="H39" s="433"/>
      <c r="I39" s="442"/>
      <c r="J39" s="443"/>
      <c r="K39" s="441"/>
      <c r="L39" s="440"/>
      <c r="M39" s="438"/>
      <c r="N39" s="445"/>
      <c r="O39" s="303"/>
      <c r="P39" s="276"/>
      <c r="Q39" s="279"/>
      <c r="R39" s="279"/>
      <c r="S39" s="269"/>
      <c r="T39" s="280">
        <f>IF(S39="Asignado",[11]Listas!$C$30,[11]Listas!$C$31)</f>
        <v>0</v>
      </c>
      <c r="U39" s="269"/>
      <c r="V39" s="280">
        <f>IF(U39="Adecuado",[11]Listas!$C$32,[11]Listas!$C$33)</f>
        <v>0</v>
      </c>
      <c r="W39" s="269"/>
      <c r="X39" s="280">
        <f>IF(W39="Oportuna",[11]Listas!$C$34,[11]Listas!$C$35)</f>
        <v>0</v>
      </c>
      <c r="Y39" s="269"/>
      <c r="Z39" s="280">
        <f>IF(Y39="Prevenir",[11]Listas!$C$36,IF(Y39="Detectar",[11]Listas!$C$37,[11]Listas!$C$38))</f>
        <v>0</v>
      </c>
      <c r="AA39" s="269"/>
      <c r="AB39" s="280">
        <f>IF(AA39="Confiable",[11]Listas!$C$39,[11]Listas!$C$40)</f>
        <v>0</v>
      </c>
      <c r="AC39" s="269"/>
      <c r="AD39" s="280">
        <f>IF(AC39="Se investigan y resuelven oportunamente",[11]Listas!$C$41,[11]Listas!$C$42)</f>
        <v>0</v>
      </c>
      <c r="AE39" s="269"/>
      <c r="AF39" s="280">
        <f>IF(AE39="Completa",[11]Listas!$C$43,IF(AE39="Incompleta",[11]Listas!$C$44,[11]Listas!$C$45))</f>
        <v>0</v>
      </c>
      <c r="AG39" s="440"/>
      <c r="AH39" s="440"/>
      <c r="AI39" s="441"/>
      <c r="AJ39" s="440"/>
      <c r="AK39" s="438"/>
      <c r="AL39" s="445"/>
      <c r="AM39" s="433"/>
      <c r="AN39" s="451"/>
      <c r="AO39" s="440"/>
      <c r="AP39" s="436"/>
      <c r="AQ39" s="436"/>
      <c r="AR39" s="436"/>
      <c r="AS39" s="510"/>
      <c r="AT39" s="501"/>
      <c r="AU39" s="120"/>
      <c r="AV39" s="120"/>
      <c r="AW39" s="120"/>
      <c r="AX39" s="120"/>
      <c r="AY39" s="120"/>
      <c r="AZ39" s="120"/>
      <c r="BA39" s="120"/>
    </row>
    <row r="40" spans="1:53" hidden="1" x14ac:dyDescent="0.25">
      <c r="A40" s="449"/>
      <c r="B40" s="440"/>
      <c r="C40" s="450"/>
      <c r="D40" s="279"/>
      <c r="E40" s="279"/>
      <c r="F40" s="279"/>
      <c r="G40" s="303"/>
      <c r="H40" s="433"/>
      <c r="I40" s="442"/>
      <c r="J40" s="443"/>
      <c r="K40" s="441"/>
      <c r="L40" s="440"/>
      <c r="M40" s="438"/>
      <c r="N40" s="445"/>
      <c r="O40" s="269"/>
      <c r="P40" s="276"/>
      <c r="Q40" s="279"/>
      <c r="R40" s="279"/>
      <c r="S40" s="269"/>
      <c r="T40" s="280">
        <f>IF(S40="Asignado",[11]Listas!$C$30,[11]Listas!$C$31)</f>
        <v>0</v>
      </c>
      <c r="U40" s="269"/>
      <c r="V40" s="280">
        <f>IF(U40="Adecuado",[11]Listas!$C$32,[11]Listas!$C$33)</f>
        <v>0</v>
      </c>
      <c r="W40" s="269"/>
      <c r="X40" s="280">
        <f>IF(W40="Oportuna",[11]Listas!$C$34,[11]Listas!$C$35)</f>
        <v>0</v>
      </c>
      <c r="Y40" s="269"/>
      <c r="Z40" s="280">
        <f>IF(Y40="Prevenir",[11]Listas!$C$36,IF(Y40="Detectar",[11]Listas!$C$37,[11]Listas!$C$38))</f>
        <v>0</v>
      </c>
      <c r="AA40" s="269"/>
      <c r="AB40" s="280">
        <f>IF(AA40="Confiable",[11]Listas!$C$39,[11]Listas!$C$40)</f>
        <v>0</v>
      </c>
      <c r="AC40" s="269"/>
      <c r="AD40" s="280">
        <f>IF(AC40="Se investigan y resuelven oportunamente",[11]Listas!$C$41,[11]Listas!$C$42)</f>
        <v>0</v>
      </c>
      <c r="AE40" s="269"/>
      <c r="AF40" s="280">
        <f>IF(AE40="Completa",[11]Listas!$C$43,IF(AE40="Incompleta",[11]Listas!$C$44,[11]Listas!$C$45))</f>
        <v>0</v>
      </c>
      <c r="AG40" s="440"/>
      <c r="AH40" s="440"/>
      <c r="AI40" s="441"/>
      <c r="AJ40" s="440"/>
      <c r="AK40" s="438"/>
      <c r="AL40" s="445"/>
      <c r="AM40" s="433"/>
      <c r="AN40" s="451"/>
      <c r="AO40" s="440"/>
      <c r="AP40" s="436"/>
      <c r="AQ40" s="436"/>
      <c r="AR40" s="436"/>
      <c r="AS40" s="511"/>
      <c r="AT40" s="504"/>
      <c r="AU40" s="120"/>
      <c r="AV40" s="120"/>
      <c r="AW40" s="120"/>
      <c r="AX40" s="120"/>
      <c r="AY40" s="120"/>
      <c r="AZ40" s="120"/>
      <c r="BA40" s="120"/>
    </row>
    <row r="41" spans="1:53" ht="258.75" customHeight="1" x14ac:dyDescent="0.25">
      <c r="A41" s="463" t="s">
        <v>1</v>
      </c>
      <c r="B41" s="440">
        <v>3</v>
      </c>
      <c r="C41" s="450"/>
      <c r="D41" s="285" t="s">
        <v>745</v>
      </c>
      <c r="E41" s="306"/>
      <c r="F41" s="306" t="s">
        <v>794</v>
      </c>
      <c r="G41" s="307" t="s">
        <v>795</v>
      </c>
      <c r="H41" s="443" t="s">
        <v>796</v>
      </c>
      <c r="I41" s="305" t="s">
        <v>797</v>
      </c>
      <c r="J41" s="443" t="s">
        <v>727</v>
      </c>
      <c r="K41" s="441">
        <v>3</v>
      </c>
      <c r="L41" s="440">
        <v>4</v>
      </c>
      <c r="M41" s="438">
        <f t="shared" ref="M41" si="19">K41*L41</f>
        <v>12</v>
      </c>
      <c r="N41" s="446" t="str">
        <f t="shared" ref="N41" si="20">IF(AND(K41=1,L41=1),"BAJO",IF(AND(K41=1,L41=2),"BAJO",IF(AND(K41=2,L41=1),"BAJO",IF(AND(K41=2,L41=2),"BAJO",IF(AND(K41=3,L41=1),"BAJO",IF(AND(K41=1,L41=3),"MODERADO",IF(AND(K41=2,L41=3),"MODERADO",IF(AND(K41=3,L41=2),"MODERADO",IF(AND(K41=4,L41=1),"MODERADO",IF(AND(K41=5,L41=1),"ALTO",IF(AND(K41=4,L41=2),"ALTO",IF(AND(K41=3,L41=3),"ALTO",IF(AND(K41=2,L41=4),"ALTO",IF(AND(K41=1,L41=4),"ALTO",IF(AND(K41=5,L41=2),"ALTO",IF(AND(K41=4,L41=3),"ALTO","EXTREMO"))))))))))))))))</f>
        <v>EXTREMO</v>
      </c>
      <c r="O41" s="269" t="s">
        <v>798</v>
      </c>
      <c r="P41" s="276" t="s">
        <v>729</v>
      </c>
      <c r="Q41" s="279" t="s">
        <v>730</v>
      </c>
      <c r="R41" s="279" t="s">
        <v>730</v>
      </c>
      <c r="S41" s="269" t="s">
        <v>732</v>
      </c>
      <c r="T41" s="280">
        <f>IF(S41="Asignado",[12]Listas!$C$30,[12]Listas!$C$31)</f>
        <v>15</v>
      </c>
      <c r="U41" s="269" t="s">
        <v>733</v>
      </c>
      <c r="V41" s="280">
        <f>IF(U41="Adecuado",[12]Listas!$C$32,[12]Listas!$C$33)</f>
        <v>15</v>
      </c>
      <c r="W41" s="269" t="s">
        <v>734</v>
      </c>
      <c r="X41" s="280">
        <f>IF(W41="Oportuna",[12]Listas!$C$34,[12]Listas!$C$35)</f>
        <v>15</v>
      </c>
      <c r="Y41" s="269" t="s">
        <v>735</v>
      </c>
      <c r="Z41" s="280">
        <f>IF(Y41="Prevenir",[12]Listas!$C$36,IF(Y41="Detectar",[12]Listas!$C$37,[12]Listas!$C$38))</f>
        <v>15</v>
      </c>
      <c r="AA41" s="269" t="s">
        <v>736</v>
      </c>
      <c r="AB41" s="280">
        <f>IF(AA41="Confiable",[12]Listas!$C$39,[12]Listas!$C$40)</f>
        <v>15</v>
      </c>
      <c r="AC41" s="269" t="s">
        <v>784</v>
      </c>
      <c r="AD41" s="280">
        <f>IF(AC41="Se investigan y resuelven oportunamente",[12]Listas!$C$41,[12]Listas!$C$42)</f>
        <v>0</v>
      </c>
      <c r="AE41" s="269" t="s">
        <v>738</v>
      </c>
      <c r="AF41" s="280">
        <f>IF(AE41="Completa",[12]Listas!$C$43,IF(AE41="Incompleta",[12]Listas!$C$44,[12]Listas!$C$45))</f>
        <v>10</v>
      </c>
      <c r="AG41" s="276">
        <f t="shared" ref="AG41:AG43" si="21">T41+V41+X41+Z41+AB41+AD41+AF41</f>
        <v>85</v>
      </c>
      <c r="AH41" s="448">
        <f>AVERAGE(AG41:AG44)</f>
        <v>91.666666666666671</v>
      </c>
      <c r="AI41" s="441">
        <v>1</v>
      </c>
      <c r="AJ41" s="440">
        <v>3</v>
      </c>
      <c r="AK41" s="438">
        <f>+AI41*AJ41</f>
        <v>3</v>
      </c>
      <c r="AL41" s="439" t="str">
        <f>IF(AND(AI41=1,AJ41=1),"BAJO",IF(AND(AI41=1,AJ41=2),"BAJO",IF(AND(AI41=2,AJ41=1),"BAJO",IF(AND(AI41=2,AJ41=2),"BAJO",IF(AND(AI41=3,AJ41=1),"BAJO",IF(AND(AI41=1,AJ41=3),"MODERADO",IF(AND(AI41=2,AJ41=3),"MODERADO",IF(AND(AI41=3,AJ41=2),"MODERADO",IF(AND(AI41=4,AJ41=1),"MODERADO",IF(AND(AI41=5,AJ41=1),"ALTO",IF(AND(AI41=4,AJ41=2),"ALTO",IF(AND(AI41=3,AJ41=3),"ALTO",IF(AND(AI41=2,AJ41=4),"ALTO",IF(AND(AI41=1,AJ41=4),"ALTO",IF(AND(AI41=5,AJ41=2),"ALTO",IF(AND(AI41=4,AJ41=3),"ALTO","EXTREMO"))))))))))))))))</f>
        <v>MODERADO</v>
      </c>
      <c r="AM41" s="433" t="s">
        <v>739</v>
      </c>
      <c r="AN41" s="257" t="s">
        <v>799</v>
      </c>
      <c r="AO41" s="257" t="s">
        <v>800</v>
      </c>
      <c r="AP41" s="257" t="s">
        <v>801</v>
      </c>
      <c r="AQ41" s="308" t="s">
        <v>92</v>
      </c>
      <c r="AR41" s="257" t="s">
        <v>802</v>
      </c>
      <c r="AT41" s="310" t="s">
        <v>937</v>
      </c>
      <c r="AU41" s="310" t="s">
        <v>929</v>
      </c>
      <c r="AV41" s="257" t="s">
        <v>938</v>
      </c>
      <c r="AW41" s="310" t="s">
        <v>929</v>
      </c>
      <c r="AX41" s="310">
        <v>1</v>
      </c>
      <c r="AY41" s="310">
        <v>1</v>
      </c>
      <c r="AZ41" s="313" t="s">
        <v>939</v>
      </c>
      <c r="BA41" s="313" t="s">
        <v>940</v>
      </c>
    </row>
    <row r="42" spans="1:53" ht="148.5" x14ac:dyDescent="0.25">
      <c r="A42" s="464"/>
      <c r="B42" s="440"/>
      <c r="C42" s="450"/>
      <c r="D42" s="285" t="s">
        <v>724</v>
      </c>
      <c r="E42" s="306"/>
      <c r="F42" s="306" t="s">
        <v>803</v>
      </c>
      <c r="G42" s="307" t="s">
        <v>804</v>
      </c>
      <c r="H42" s="443"/>
      <c r="I42" s="305" t="s">
        <v>805</v>
      </c>
      <c r="J42" s="443"/>
      <c r="K42" s="441"/>
      <c r="L42" s="440"/>
      <c r="M42" s="438"/>
      <c r="N42" s="446"/>
      <c r="O42" s="269" t="s">
        <v>806</v>
      </c>
      <c r="P42" s="276" t="s">
        <v>807</v>
      </c>
      <c r="Q42" s="279" t="s">
        <v>730</v>
      </c>
      <c r="R42" s="279" t="s">
        <v>772</v>
      </c>
      <c r="S42" s="269" t="s">
        <v>732</v>
      </c>
      <c r="T42" s="280">
        <f>IF(S42="Asignado",[12]Listas!$C$30,[12]Listas!$C$31)</f>
        <v>15</v>
      </c>
      <c r="U42" s="269" t="s">
        <v>733</v>
      </c>
      <c r="V42" s="280">
        <f>IF(U42="Adecuado",[12]Listas!$C$32,[12]Listas!$C$33)</f>
        <v>15</v>
      </c>
      <c r="W42" s="269" t="s">
        <v>734</v>
      </c>
      <c r="X42" s="280">
        <f>IF(W42="Oportuna",[12]Listas!$C$34,[12]Listas!$C$35)</f>
        <v>15</v>
      </c>
      <c r="Y42" s="269" t="s">
        <v>808</v>
      </c>
      <c r="Z42" s="280">
        <f>IF(Y42="Prevenir",[12]Listas!$C$36,IF(Y42="Detectar",[12]Listas!$C$37,[12]Listas!$C$38))</f>
        <v>10</v>
      </c>
      <c r="AA42" s="269" t="s">
        <v>736</v>
      </c>
      <c r="AB42" s="280">
        <f>IF(AA42="Confiable",[12]Listas!$C$39,[12]Listas!$C$40)</f>
        <v>15</v>
      </c>
      <c r="AC42" s="269" t="s">
        <v>737</v>
      </c>
      <c r="AD42" s="280">
        <f>IF(AC42="Se investigan y resuelven oportunamente",[12]Listas!$C$41,[12]Listas!$C$42)</f>
        <v>15</v>
      </c>
      <c r="AE42" s="269" t="s">
        <v>738</v>
      </c>
      <c r="AF42" s="280">
        <f>IF(AE42="Completa",[12]Listas!$C$43,IF(AE42="Incompleta",[12]Listas!$C$44,[12]Listas!$C$45))</f>
        <v>10</v>
      </c>
      <c r="AG42" s="276">
        <f t="shared" si="21"/>
        <v>95</v>
      </c>
      <c r="AH42" s="448"/>
      <c r="AI42" s="441"/>
      <c r="AJ42" s="440"/>
      <c r="AK42" s="438"/>
      <c r="AL42" s="439"/>
      <c r="AM42" s="433"/>
      <c r="AN42" s="257" t="s">
        <v>809</v>
      </c>
      <c r="AO42" s="257" t="s">
        <v>810</v>
      </c>
      <c r="AP42" s="257" t="s">
        <v>801</v>
      </c>
      <c r="AQ42" s="308" t="s">
        <v>811</v>
      </c>
      <c r="AR42" s="257" t="s">
        <v>812</v>
      </c>
      <c r="AS42" s="120"/>
      <c r="AT42" s="125" t="s">
        <v>937</v>
      </c>
      <c r="AU42" s="125" t="s">
        <v>929</v>
      </c>
      <c r="AV42" s="122" t="s">
        <v>954</v>
      </c>
      <c r="AW42" s="125" t="s">
        <v>929</v>
      </c>
      <c r="AX42" s="125">
        <v>1</v>
      </c>
      <c r="AY42" s="125">
        <v>1</v>
      </c>
      <c r="AZ42" s="314" t="s">
        <v>955</v>
      </c>
      <c r="BA42" s="314" t="s">
        <v>956</v>
      </c>
    </row>
    <row r="43" spans="1:53" ht="57" customHeight="1" x14ac:dyDescent="0.25">
      <c r="A43" s="464"/>
      <c r="B43" s="440"/>
      <c r="C43" s="450"/>
      <c r="D43" s="443"/>
      <c r="E43" s="441" t="s">
        <v>813</v>
      </c>
      <c r="F43" s="454" t="s">
        <v>814</v>
      </c>
      <c r="G43" s="454" t="s">
        <v>815</v>
      </c>
      <c r="H43" s="443"/>
      <c r="I43" s="305" t="s">
        <v>816</v>
      </c>
      <c r="J43" s="443"/>
      <c r="K43" s="441"/>
      <c r="L43" s="440"/>
      <c r="M43" s="438"/>
      <c r="N43" s="446"/>
      <c r="O43" s="466" t="s">
        <v>817</v>
      </c>
      <c r="P43" s="440" t="s">
        <v>807</v>
      </c>
      <c r="Q43" s="436" t="s">
        <v>730</v>
      </c>
      <c r="R43" s="436" t="s">
        <v>730</v>
      </c>
      <c r="S43" s="433" t="s">
        <v>732</v>
      </c>
      <c r="T43" s="433">
        <f>IF(S43="Asignado",[12]Listas!$C$30,[12]Listas!$C$31)</f>
        <v>15</v>
      </c>
      <c r="U43" s="433" t="s">
        <v>733</v>
      </c>
      <c r="V43" s="433">
        <f>IF(U43="Adecuado",[12]Listas!$C$32,[12]Listas!$C$33)</f>
        <v>15</v>
      </c>
      <c r="W43" s="433" t="s">
        <v>734</v>
      </c>
      <c r="X43" s="433">
        <f>IF(W43="Oportuna",[12]Listas!$C$34,[12]Listas!$C$35)</f>
        <v>15</v>
      </c>
      <c r="Y43" s="433" t="s">
        <v>808</v>
      </c>
      <c r="Z43" s="433">
        <f>IF(Y43="Prevenir",[12]Listas!$C$36,IF(Y43="Detectar",[12]Listas!$C$37,[12]Listas!$C$38))</f>
        <v>10</v>
      </c>
      <c r="AA43" s="433" t="s">
        <v>736</v>
      </c>
      <c r="AB43" s="433">
        <f>IF(AA43="Confiable",[12]Listas!$C$39,[12]Listas!$C$40)</f>
        <v>15</v>
      </c>
      <c r="AC43" s="433" t="s">
        <v>737</v>
      </c>
      <c r="AD43" s="433">
        <f>IF(AC43="Se investigan y resuelven oportunamente",[12]Listas!$C$41,[12]Listas!$C$42)</f>
        <v>15</v>
      </c>
      <c r="AE43" s="433" t="s">
        <v>738</v>
      </c>
      <c r="AF43" s="433">
        <f>IF(AE43="Completa",[12]Listas!$C$43,IF(AE43="Incompleta",[12]Listas!$C$44,[12]Listas!$C$45))</f>
        <v>10</v>
      </c>
      <c r="AG43" s="440">
        <f t="shared" si="21"/>
        <v>95</v>
      </c>
      <c r="AH43" s="448"/>
      <c r="AI43" s="441"/>
      <c r="AJ43" s="440"/>
      <c r="AK43" s="438"/>
      <c r="AL43" s="439"/>
      <c r="AM43" s="433"/>
      <c r="AN43" s="443" t="s">
        <v>818</v>
      </c>
      <c r="AO43" s="443" t="s">
        <v>819</v>
      </c>
      <c r="AP43" s="443" t="s">
        <v>801</v>
      </c>
      <c r="AQ43" s="447" t="s">
        <v>820</v>
      </c>
      <c r="AR43" s="443" t="s">
        <v>821</v>
      </c>
      <c r="AS43" s="509"/>
      <c r="AT43" s="500" t="s">
        <v>937</v>
      </c>
      <c r="AU43" s="500" t="s">
        <v>930</v>
      </c>
      <c r="AV43" s="498" t="s">
        <v>941</v>
      </c>
      <c r="AW43" s="500" t="s">
        <v>930</v>
      </c>
      <c r="AX43" s="500">
        <v>1</v>
      </c>
      <c r="AY43" s="500">
        <v>0</v>
      </c>
      <c r="AZ43" s="498" t="s">
        <v>958</v>
      </c>
      <c r="BA43" s="500" t="s">
        <v>957</v>
      </c>
    </row>
    <row r="44" spans="1:53" ht="108" x14ac:dyDescent="0.25">
      <c r="A44" s="464"/>
      <c r="B44" s="440"/>
      <c r="C44" s="450"/>
      <c r="D44" s="443"/>
      <c r="E44" s="441"/>
      <c r="F44" s="454"/>
      <c r="G44" s="454"/>
      <c r="H44" s="443"/>
      <c r="I44" s="305" t="s">
        <v>822</v>
      </c>
      <c r="J44" s="443"/>
      <c r="K44" s="441"/>
      <c r="L44" s="440"/>
      <c r="M44" s="438"/>
      <c r="N44" s="446"/>
      <c r="O44" s="466"/>
      <c r="P44" s="440"/>
      <c r="Q44" s="436"/>
      <c r="R44" s="436"/>
      <c r="S44" s="433"/>
      <c r="T44" s="433"/>
      <c r="U44" s="433"/>
      <c r="V44" s="433"/>
      <c r="W44" s="433"/>
      <c r="X44" s="433"/>
      <c r="Y44" s="433"/>
      <c r="Z44" s="433"/>
      <c r="AA44" s="433"/>
      <c r="AB44" s="433"/>
      <c r="AC44" s="433"/>
      <c r="AD44" s="433"/>
      <c r="AE44" s="433"/>
      <c r="AF44" s="433"/>
      <c r="AG44" s="440"/>
      <c r="AH44" s="448"/>
      <c r="AI44" s="441"/>
      <c r="AJ44" s="440"/>
      <c r="AK44" s="438"/>
      <c r="AL44" s="439"/>
      <c r="AM44" s="433"/>
      <c r="AN44" s="443"/>
      <c r="AO44" s="443"/>
      <c r="AP44" s="443"/>
      <c r="AQ44" s="447"/>
      <c r="AR44" s="443"/>
      <c r="AS44" s="511"/>
      <c r="AT44" s="504"/>
      <c r="AU44" s="504"/>
      <c r="AV44" s="505"/>
      <c r="AW44" s="504"/>
      <c r="AX44" s="504"/>
      <c r="AY44" s="504"/>
      <c r="AZ44" s="505"/>
      <c r="BA44" s="504"/>
    </row>
    <row r="45" spans="1:53" ht="33.75" customHeight="1" x14ac:dyDescent="0.25">
      <c r="A45" s="455" t="s">
        <v>392</v>
      </c>
      <c r="B45" s="434">
        <v>4</v>
      </c>
      <c r="C45" s="434"/>
      <c r="D45" s="434" t="s">
        <v>823</v>
      </c>
      <c r="E45" s="434" t="s">
        <v>824</v>
      </c>
      <c r="F45" s="434"/>
      <c r="G45" s="433" t="s">
        <v>396</v>
      </c>
      <c r="H45" s="433" t="s">
        <v>395</v>
      </c>
      <c r="I45" s="442" t="s">
        <v>832</v>
      </c>
      <c r="J45" s="434" t="s">
        <v>825</v>
      </c>
      <c r="K45" s="434">
        <v>3</v>
      </c>
      <c r="L45" s="434">
        <v>5</v>
      </c>
      <c r="M45" s="444">
        <f>+K45*L45</f>
        <v>15</v>
      </c>
      <c r="N45" s="445" t="str">
        <f t="shared" ref="N45" si="22">IF(AND(K45=1,L45=1),"BAJO",IF(AND(K45=1,L45=2),"BAJO",IF(AND(K45=2,L45=1),"BAJO",IF(AND(K45=2,L45=2),"BAJO",IF(AND(K45=3,L45=1),"BAJO",IF(AND(K45=1,L45=3),"MODERADO",IF(AND(K45=2,L45=3),"MODERADO",IF(AND(K45=3,L45=2),"MODERADO",IF(AND(K45=4,L45=1),"MODERADO",IF(AND(K45=5,L45=1),"ALTO",IF(AND(K45=4,L45=2),"ALTO",IF(AND(K45=3,L45=3),"ALTO",IF(AND(K45=2,L45=4),"ALTO",IF(AND(K45=1,L45=4),"ALTO",IF(AND(K45=5,L45=2),"ALTO",IF(AND(K45=4,L45=3),"ALTO","EXTREMO"))))))))))))))))</f>
        <v>EXTREMO</v>
      </c>
      <c r="O45" s="433" t="s">
        <v>826</v>
      </c>
      <c r="P45" s="440" t="s">
        <v>729</v>
      </c>
      <c r="Q45" s="436" t="s">
        <v>730</v>
      </c>
      <c r="R45" s="436" t="s">
        <v>772</v>
      </c>
      <c r="S45" s="434" t="s">
        <v>732</v>
      </c>
      <c r="T45" s="434">
        <v>15</v>
      </c>
      <c r="U45" s="433" t="s">
        <v>733</v>
      </c>
      <c r="V45" s="433">
        <v>15</v>
      </c>
      <c r="W45" s="433" t="s">
        <v>734</v>
      </c>
      <c r="X45" s="433">
        <v>15</v>
      </c>
      <c r="Y45" s="433" t="s">
        <v>735</v>
      </c>
      <c r="Z45" s="433">
        <v>10</v>
      </c>
      <c r="AA45" s="433" t="s">
        <v>736</v>
      </c>
      <c r="AB45" s="433">
        <v>15</v>
      </c>
      <c r="AC45" s="433" t="s">
        <v>737</v>
      </c>
      <c r="AD45" s="433">
        <v>15</v>
      </c>
      <c r="AE45" s="433" t="s">
        <v>738</v>
      </c>
      <c r="AF45" s="433">
        <v>10</v>
      </c>
      <c r="AG45" s="440">
        <f>T45+V45+X45+Z45+AB45+AD45+AF45</f>
        <v>95</v>
      </c>
      <c r="AH45" s="440">
        <f>AVERAGE(AG45:AG46)</f>
        <v>95</v>
      </c>
      <c r="AI45" s="441">
        <v>2</v>
      </c>
      <c r="AJ45" s="440">
        <v>4</v>
      </c>
      <c r="AK45" s="438">
        <f>AI45*AJ45</f>
        <v>8</v>
      </c>
      <c r="AL45" s="439" t="str">
        <f>IF(AND(AI45=1,AJ45=1),"BAJO",IF(AND(AI45=1,AJ45=2),"BAJO",IF(AND(AI45=2,AJ45=1),"BAJO",IF(AND(AI45=2,AJ45=2),"BAJO",IF(AND(AI45=3,AJ45=1),"BAJO",IF(AND(AI45=1,AJ45=3),"MODERADO",IF(AND(AI45=2,AJ45=3),"MODERADO",IF(AND(AI45=3,AJ45=2),"MODERADO",IF(AND(AI45=4,AJ45=1),"MODERADO",IF(AND(AI45=5,AJ45=1),"ALTO",IF(AND(AI45=4,AJ45=2),"ALTO",IF(AND(AI45=3,AJ45=3),"ALTO",IF(AND(AI45=2,AJ45=4),"ALTO",IF(AND(AI45=1,AJ45=4),"ALTO",IF(AND(AI45=5,AJ45=2),"ALTO",IF(AND(AI45=4,AJ45=3),"ALTO","EXTREMO"))))))))))))))))</f>
        <v>ALTO</v>
      </c>
      <c r="AM45" s="437" t="s">
        <v>827</v>
      </c>
      <c r="AN45" s="437" t="s">
        <v>828</v>
      </c>
      <c r="AO45" s="436" t="s">
        <v>829</v>
      </c>
      <c r="AP45" s="436" t="s">
        <v>437</v>
      </c>
      <c r="AQ45" s="435" t="s">
        <v>830</v>
      </c>
      <c r="AR45" s="436" t="s">
        <v>831</v>
      </c>
      <c r="AS45" s="496"/>
      <c r="AT45" s="500" t="s">
        <v>937</v>
      </c>
      <c r="AU45" s="500" t="s">
        <v>929</v>
      </c>
      <c r="AV45" s="498" t="s">
        <v>1019</v>
      </c>
      <c r="AW45" s="500" t="s">
        <v>929</v>
      </c>
      <c r="AX45" s="500">
        <v>3</v>
      </c>
      <c r="AY45" s="500">
        <v>3</v>
      </c>
      <c r="AZ45" s="506" t="s">
        <v>1020</v>
      </c>
      <c r="BA45" s="498" t="s">
        <v>829</v>
      </c>
    </row>
    <row r="46" spans="1:53" ht="24" customHeight="1" x14ac:dyDescent="0.25">
      <c r="A46" s="455"/>
      <c r="B46" s="434"/>
      <c r="C46" s="434"/>
      <c r="D46" s="434"/>
      <c r="E46" s="434"/>
      <c r="F46" s="434"/>
      <c r="G46" s="433"/>
      <c r="H46" s="433"/>
      <c r="I46" s="442"/>
      <c r="J46" s="434"/>
      <c r="K46" s="434"/>
      <c r="L46" s="434"/>
      <c r="M46" s="444"/>
      <c r="N46" s="445"/>
      <c r="O46" s="433"/>
      <c r="P46" s="440"/>
      <c r="Q46" s="436"/>
      <c r="R46" s="436"/>
      <c r="S46" s="434"/>
      <c r="T46" s="434"/>
      <c r="U46" s="433"/>
      <c r="V46" s="433"/>
      <c r="W46" s="433"/>
      <c r="X46" s="433"/>
      <c r="Y46" s="433"/>
      <c r="Z46" s="433"/>
      <c r="AA46" s="433"/>
      <c r="AB46" s="433"/>
      <c r="AC46" s="433"/>
      <c r="AD46" s="433"/>
      <c r="AE46" s="433"/>
      <c r="AF46" s="433"/>
      <c r="AG46" s="440"/>
      <c r="AH46" s="440"/>
      <c r="AI46" s="441"/>
      <c r="AJ46" s="440"/>
      <c r="AK46" s="438"/>
      <c r="AL46" s="439"/>
      <c r="AM46" s="437"/>
      <c r="AN46" s="437"/>
      <c r="AO46" s="436"/>
      <c r="AP46" s="436"/>
      <c r="AQ46" s="435"/>
      <c r="AR46" s="436"/>
      <c r="AS46" s="496"/>
      <c r="AT46" s="501"/>
      <c r="AU46" s="501"/>
      <c r="AV46" s="499"/>
      <c r="AW46" s="501"/>
      <c r="AX46" s="501"/>
      <c r="AY46" s="501"/>
      <c r="AZ46" s="507"/>
      <c r="BA46" s="499"/>
    </row>
    <row r="47" spans="1:53" x14ac:dyDescent="0.25">
      <c r="A47" s="461"/>
      <c r="B47" s="434"/>
      <c r="C47" s="434"/>
      <c r="D47" s="434"/>
      <c r="E47" s="434"/>
      <c r="F47" s="434"/>
      <c r="G47" s="433"/>
      <c r="H47" s="433"/>
      <c r="I47" s="442"/>
      <c r="J47" s="434"/>
      <c r="K47" s="434"/>
      <c r="L47" s="434"/>
      <c r="M47" s="444"/>
      <c r="N47" s="445"/>
      <c r="O47" s="433"/>
      <c r="P47" s="440"/>
      <c r="Q47" s="436"/>
      <c r="R47" s="436"/>
      <c r="S47" s="434"/>
      <c r="T47" s="434"/>
      <c r="U47" s="433"/>
      <c r="V47" s="433"/>
      <c r="W47" s="433"/>
      <c r="X47" s="433"/>
      <c r="Y47" s="433"/>
      <c r="Z47" s="433"/>
      <c r="AA47" s="433"/>
      <c r="AB47" s="433"/>
      <c r="AC47" s="433"/>
      <c r="AD47" s="433"/>
      <c r="AE47" s="433"/>
      <c r="AF47" s="433"/>
      <c r="AG47" s="440"/>
      <c r="AH47" s="440"/>
      <c r="AI47" s="441"/>
      <c r="AJ47" s="440"/>
      <c r="AK47" s="438"/>
      <c r="AL47" s="439"/>
      <c r="AM47" s="437"/>
      <c r="AN47" s="437"/>
      <c r="AO47" s="436"/>
      <c r="AP47" s="436"/>
      <c r="AQ47" s="435"/>
      <c r="AR47" s="436"/>
      <c r="AS47" s="496"/>
      <c r="AT47" s="504"/>
      <c r="AU47" s="504"/>
      <c r="AV47" s="505"/>
      <c r="AW47" s="504"/>
      <c r="AX47" s="504"/>
      <c r="AY47" s="504"/>
      <c r="AZ47" s="508"/>
      <c r="BA47" s="505"/>
    </row>
  </sheetData>
  <mergeCells count="449">
    <mergeCell ref="AT20:AT21"/>
    <mergeCell ref="AS20:AS21"/>
    <mergeCell ref="AU20:AU21"/>
    <mergeCell ref="AV20:AV21"/>
    <mergeCell ref="AW20:AW21"/>
    <mergeCell ref="AX20:AX21"/>
    <mergeCell ref="AY20:AY21"/>
    <mergeCell ref="AZ20:AZ21"/>
    <mergeCell ref="BA20:BA21"/>
    <mergeCell ref="AT22:AT25"/>
    <mergeCell ref="AU22:AU25"/>
    <mergeCell ref="AV22:AV25"/>
    <mergeCell ref="AW22:AW25"/>
    <mergeCell ref="AX22:AX25"/>
    <mergeCell ref="AY22:AY25"/>
    <mergeCell ref="AZ22:AZ25"/>
    <mergeCell ref="BA22:BA25"/>
    <mergeCell ref="AS22:AS25"/>
    <mergeCell ref="BA16:BA19"/>
    <mergeCell ref="AZ16:AZ19"/>
    <mergeCell ref="AY16:AY19"/>
    <mergeCell ref="AX16:AX19"/>
    <mergeCell ref="AW16:AW19"/>
    <mergeCell ref="AV16:AV19"/>
    <mergeCell ref="AU16:AU19"/>
    <mergeCell ref="AT16:AT19"/>
    <mergeCell ref="AS16:AS19"/>
    <mergeCell ref="AT45:AT47"/>
    <mergeCell ref="AU45:AU47"/>
    <mergeCell ref="AV45:AV47"/>
    <mergeCell ref="AW45:AW47"/>
    <mergeCell ref="AX45:AX47"/>
    <mergeCell ref="AY45:AY47"/>
    <mergeCell ref="AZ45:AZ47"/>
    <mergeCell ref="BA45:BA47"/>
    <mergeCell ref="AS38:AS40"/>
    <mergeCell ref="AT38:AT40"/>
    <mergeCell ref="AS43:AS44"/>
    <mergeCell ref="AT43:AT44"/>
    <mergeCell ref="AU43:AU44"/>
    <mergeCell ref="AV43:AV44"/>
    <mergeCell ref="AW43:AW44"/>
    <mergeCell ref="AX43:AX44"/>
    <mergeCell ref="AY43:AY44"/>
    <mergeCell ref="AZ43:AZ44"/>
    <mergeCell ref="BA43:BA44"/>
    <mergeCell ref="AX31:AX32"/>
    <mergeCell ref="AY31:AY32"/>
    <mergeCell ref="AZ31:AZ32"/>
    <mergeCell ref="BA31:BA32"/>
    <mergeCell ref="A1:C3"/>
    <mergeCell ref="D1:L1"/>
    <mergeCell ref="M1:O1"/>
    <mergeCell ref="D2:L3"/>
    <mergeCell ref="M2:O2"/>
    <mergeCell ref="M3:O3"/>
    <mergeCell ref="A7:A9"/>
    <mergeCell ref="C7:E7"/>
    <mergeCell ref="F7:J7"/>
    <mergeCell ref="K7:N7"/>
    <mergeCell ref="O7:AH7"/>
    <mergeCell ref="AI7:AL7"/>
    <mergeCell ref="L8:L9"/>
    <mergeCell ref="M8:N9"/>
    <mergeCell ref="O8:O9"/>
    <mergeCell ref="P8:P9"/>
    <mergeCell ref="Q8:Q9"/>
    <mergeCell ref="R8:R9"/>
    <mergeCell ref="AM7:AR7"/>
    <mergeCell ref="B8:B9"/>
    <mergeCell ref="C8:C9"/>
    <mergeCell ref="D8:E8"/>
    <mergeCell ref="F8:F9"/>
    <mergeCell ref="G8:G9"/>
    <mergeCell ref="H8:H9"/>
    <mergeCell ref="I8:I9"/>
    <mergeCell ref="J8:J9"/>
    <mergeCell ref="K8:K9"/>
    <mergeCell ref="AQ8:AQ9"/>
    <mergeCell ref="AR8:AR9"/>
    <mergeCell ref="S9:T9"/>
    <mergeCell ref="U9:V9"/>
    <mergeCell ref="W9:X9"/>
    <mergeCell ref="Y9:Z9"/>
    <mergeCell ref="AA9:AB9"/>
    <mergeCell ref="AC9:AD9"/>
    <mergeCell ref="AE9:AF9"/>
    <mergeCell ref="AJ8:AJ9"/>
    <mergeCell ref="AK8:AL9"/>
    <mergeCell ref="AM8:AM9"/>
    <mergeCell ref="AN8:AN9"/>
    <mergeCell ref="AO8:AO9"/>
    <mergeCell ref="AP8:AP9"/>
    <mergeCell ref="L12:L14"/>
    <mergeCell ref="M12:M14"/>
    <mergeCell ref="N12:N14"/>
    <mergeCell ref="O12:O14"/>
    <mergeCell ref="P12:P14"/>
    <mergeCell ref="Q12:Q14"/>
    <mergeCell ref="AC12:AC14"/>
    <mergeCell ref="AP12:AP14"/>
    <mergeCell ref="AH8:AH9"/>
    <mergeCell ref="AI8:AI9"/>
    <mergeCell ref="S8:AF8"/>
    <mergeCell ref="AG8:AG9"/>
    <mergeCell ref="A12:A19"/>
    <mergeCell ref="B12:B14"/>
    <mergeCell ref="H12:H14"/>
    <mergeCell ref="I12:I14"/>
    <mergeCell ref="J12:J14"/>
    <mergeCell ref="K12:K14"/>
    <mergeCell ref="Z12:Z14"/>
    <mergeCell ref="AA12:AA14"/>
    <mergeCell ref="AB12:AB14"/>
    <mergeCell ref="R12:R14"/>
    <mergeCell ref="S12:S14"/>
    <mergeCell ref="T12:T14"/>
    <mergeCell ref="U12:U14"/>
    <mergeCell ref="V12:V14"/>
    <mergeCell ref="W12:W14"/>
    <mergeCell ref="U16:U19"/>
    <mergeCell ref="V16:V19"/>
    <mergeCell ref="W16:W19"/>
    <mergeCell ref="X16:X19"/>
    <mergeCell ref="Y16:Y19"/>
    <mergeCell ref="N16:N19"/>
    <mergeCell ref="O16:O19"/>
    <mergeCell ref="P16:P19"/>
    <mergeCell ref="Q16:Q19"/>
    <mergeCell ref="AQ12:AQ14"/>
    <mergeCell ref="AR12:AR14"/>
    <mergeCell ref="B16:B19"/>
    <mergeCell ref="H16:H19"/>
    <mergeCell ref="I16:I19"/>
    <mergeCell ref="J16:J19"/>
    <mergeCell ref="K16:K19"/>
    <mergeCell ref="L16:L19"/>
    <mergeCell ref="M16:M19"/>
    <mergeCell ref="AJ12:AJ14"/>
    <mergeCell ref="AK12:AK14"/>
    <mergeCell ref="AL12:AL14"/>
    <mergeCell ref="AM12:AM14"/>
    <mergeCell ref="AN12:AN14"/>
    <mergeCell ref="AO12:AO14"/>
    <mergeCell ref="AD12:AD14"/>
    <mergeCell ref="AE12:AE14"/>
    <mergeCell ref="AF12:AF14"/>
    <mergeCell ref="AG12:AG14"/>
    <mergeCell ref="AH12:AH14"/>
    <mergeCell ref="AI12:AI14"/>
    <mergeCell ref="X12:X14"/>
    <mergeCell ref="Y12:Y14"/>
    <mergeCell ref="T16:T19"/>
    <mergeCell ref="R16:R19"/>
    <mergeCell ref="S16:S19"/>
    <mergeCell ref="AH16:AH19"/>
    <mergeCell ref="AI16:AI19"/>
    <mergeCell ref="AJ16:AJ19"/>
    <mergeCell ref="AK16:AK19"/>
    <mergeCell ref="Z16:Z19"/>
    <mergeCell ref="AA16:AA19"/>
    <mergeCell ref="AB16:AB19"/>
    <mergeCell ref="AC16:AC19"/>
    <mergeCell ref="AD16:AD19"/>
    <mergeCell ref="AE16:AE19"/>
    <mergeCell ref="N20:N21"/>
    <mergeCell ref="O20:O21"/>
    <mergeCell ref="P20:P21"/>
    <mergeCell ref="Q20:Q21"/>
    <mergeCell ref="R20:R21"/>
    <mergeCell ref="S20:S21"/>
    <mergeCell ref="AR16:AR19"/>
    <mergeCell ref="A20:A21"/>
    <mergeCell ref="B20:B21"/>
    <mergeCell ref="G20:G21"/>
    <mergeCell ref="H20:H21"/>
    <mergeCell ref="I20:I21"/>
    <mergeCell ref="J20:J21"/>
    <mergeCell ref="K20:K21"/>
    <mergeCell ref="L20:L21"/>
    <mergeCell ref="M20:M21"/>
    <mergeCell ref="AL16:AL19"/>
    <mergeCell ref="AM16:AM19"/>
    <mergeCell ref="AN16:AN19"/>
    <mergeCell ref="AO16:AO19"/>
    <mergeCell ref="AP16:AP19"/>
    <mergeCell ref="AQ16:AQ19"/>
    <mergeCell ref="AF16:AF19"/>
    <mergeCell ref="AG16:AG19"/>
    <mergeCell ref="AK20:AK21"/>
    <mergeCell ref="Z20:Z21"/>
    <mergeCell ref="AA20:AA21"/>
    <mergeCell ref="AB20:AB21"/>
    <mergeCell ref="AC20:AC21"/>
    <mergeCell ref="AD20:AD21"/>
    <mergeCell ref="AE20:AE21"/>
    <mergeCell ref="T20:T21"/>
    <mergeCell ref="U20:U21"/>
    <mergeCell ref="V20:V21"/>
    <mergeCell ref="W20:W21"/>
    <mergeCell ref="X20:X21"/>
    <mergeCell ref="Y20:Y21"/>
    <mergeCell ref="R22:R25"/>
    <mergeCell ref="S22:S25"/>
    <mergeCell ref="T22:T25"/>
    <mergeCell ref="AR20:AR21"/>
    <mergeCell ref="A22:A25"/>
    <mergeCell ref="B22:B25"/>
    <mergeCell ref="H22:H25"/>
    <mergeCell ref="I22:I25"/>
    <mergeCell ref="J22:J25"/>
    <mergeCell ref="K22:K25"/>
    <mergeCell ref="L22:L25"/>
    <mergeCell ref="M22:M25"/>
    <mergeCell ref="N22:N25"/>
    <mergeCell ref="AL20:AL21"/>
    <mergeCell ref="AM20:AM21"/>
    <mergeCell ref="AN20:AN21"/>
    <mergeCell ref="AO20:AO21"/>
    <mergeCell ref="AP20:AP21"/>
    <mergeCell ref="AQ20:AQ21"/>
    <mergeCell ref="AF20:AF21"/>
    <mergeCell ref="AG20:AG21"/>
    <mergeCell ref="AH20:AH21"/>
    <mergeCell ref="AI20:AI21"/>
    <mergeCell ref="AJ20:AJ21"/>
    <mergeCell ref="AP22:AP25"/>
    <mergeCell ref="AQ22:AQ25"/>
    <mergeCell ref="AR22:AR25"/>
    <mergeCell ref="AG22:AG25"/>
    <mergeCell ref="AH22:AH25"/>
    <mergeCell ref="AI22:AI25"/>
    <mergeCell ref="AJ22:AJ25"/>
    <mergeCell ref="AK22:AK25"/>
    <mergeCell ref="AL22:AL25"/>
    <mergeCell ref="A26:A27"/>
    <mergeCell ref="A28:A29"/>
    <mergeCell ref="A31:A33"/>
    <mergeCell ref="B31:B32"/>
    <mergeCell ref="H31:H32"/>
    <mergeCell ref="I31:I32"/>
    <mergeCell ref="AM22:AM25"/>
    <mergeCell ref="AN22:AN25"/>
    <mergeCell ref="AO22:AO25"/>
    <mergeCell ref="AA22:AA25"/>
    <mergeCell ref="AB22:AB25"/>
    <mergeCell ref="AC22:AC25"/>
    <mergeCell ref="AD22:AD25"/>
    <mergeCell ref="AE22:AE25"/>
    <mergeCell ref="AF22:AF25"/>
    <mergeCell ref="U22:U25"/>
    <mergeCell ref="V22:V25"/>
    <mergeCell ref="W22:W25"/>
    <mergeCell ref="X22:X25"/>
    <mergeCell ref="Y22:Y25"/>
    <mergeCell ref="Z22:Z25"/>
    <mergeCell ref="O22:O25"/>
    <mergeCell ref="P22:P25"/>
    <mergeCell ref="Q22:Q25"/>
    <mergeCell ref="AR31:AR32"/>
    <mergeCell ref="A34:A37"/>
    <mergeCell ref="B34:B35"/>
    <mergeCell ref="C34:C35"/>
    <mergeCell ref="H34:H35"/>
    <mergeCell ref="I34:I35"/>
    <mergeCell ref="J34:J35"/>
    <mergeCell ref="AI31:AI32"/>
    <mergeCell ref="AJ31:AJ32"/>
    <mergeCell ref="AK31:AK32"/>
    <mergeCell ref="AL31:AL32"/>
    <mergeCell ref="AM31:AM32"/>
    <mergeCell ref="AN31:AN32"/>
    <mergeCell ref="J31:J32"/>
    <mergeCell ref="K31:K32"/>
    <mergeCell ref="L31:L32"/>
    <mergeCell ref="M31:M32"/>
    <mergeCell ref="N31:N32"/>
    <mergeCell ref="AH31:AH32"/>
    <mergeCell ref="B36:B37"/>
    <mergeCell ref="C36:C37"/>
    <mergeCell ref="H36:H37"/>
    <mergeCell ref="I36:I37"/>
    <mergeCell ref="J36:J37"/>
    <mergeCell ref="K36:K37"/>
    <mergeCell ref="L36:L37"/>
    <mergeCell ref="AJ34:AJ35"/>
    <mergeCell ref="AK34:AK35"/>
    <mergeCell ref="K34:K35"/>
    <mergeCell ref="L34:L35"/>
    <mergeCell ref="M34:M35"/>
    <mergeCell ref="N34:N35"/>
    <mergeCell ref="AH34:AH35"/>
    <mergeCell ref="AI34:AI35"/>
    <mergeCell ref="M36:M37"/>
    <mergeCell ref="N36:N37"/>
    <mergeCell ref="O36:O37"/>
    <mergeCell ref="P36:P37"/>
    <mergeCell ref="Q36:Q37"/>
    <mergeCell ref="R36:R37"/>
    <mergeCell ref="S36:S37"/>
    <mergeCell ref="T36:T37"/>
    <mergeCell ref="U36:U37"/>
    <mergeCell ref="V36:V37"/>
    <mergeCell ref="W36:W37"/>
    <mergeCell ref="X36:X37"/>
    <mergeCell ref="AJ36:AJ37"/>
    <mergeCell ref="AP34:AP35"/>
    <mergeCell ref="AQ34:AQ35"/>
    <mergeCell ref="AR34:AR35"/>
    <mergeCell ref="AL34:AL35"/>
    <mergeCell ref="AM34:AM35"/>
    <mergeCell ref="AN34:AN35"/>
    <mergeCell ref="AO34:AO35"/>
    <mergeCell ref="Y36:Y37"/>
    <mergeCell ref="Z36:Z37"/>
    <mergeCell ref="AA36:AA37"/>
    <mergeCell ref="AB36:AB37"/>
    <mergeCell ref="AC36:AC37"/>
    <mergeCell ref="AD36:AD37"/>
    <mergeCell ref="AK36:AK37"/>
    <mergeCell ref="AL36:AL37"/>
    <mergeCell ref="AM36:AM37"/>
    <mergeCell ref="AN36:AN37"/>
    <mergeCell ref="AO36:AO37"/>
    <mergeCell ref="AP36:AP37"/>
    <mergeCell ref="AE36:AE37"/>
    <mergeCell ref="AF36:AF37"/>
    <mergeCell ref="AG36:AG37"/>
    <mergeCell ref="AH36:AH37"/>
    <mergeCell ref="AI36:AI37"/>
    <mergeCell ref="A41:A44"/>
    <mergeCell ref="B41:B44"/>
    <mergeCell ref="C41:C44"/>
    <mergeCell ref="H41:H44"/>
    <mergeCell ref="J41:J44"/>
    <mergeCell ref="K41:K44"/>
    <mergeCell ref="L41:L44"/>
    <mergeCell ref="M41:M44"/>
    <mergeCell ref="AK38:AK40"/>
    <mergeCell ref="M38:M40"/>
    <mergeCell ref="N38:N40"/>
    <mergeCell ref="AG38:AG40"/>
    <mergeCell ref="AH38:AH40"/>
    <mergeCell ref="AI38:AI40"/>
    <mergeCell ref="AJ38:AJ40"/>
    <mergeCell ref="A38:A40"/>
    <mergeCell ref="B38:B40"/>
    <mergeCell ref="C38:C40"/>
    <mergeCell ref="H38:H40"/>
    <mergeCell ref="I38:I40"/>
    <mergeCell ref="J38:J40"/>
    <mergeCell ref="K38:K40"/>
    <mergeCell ref="L38:L40"/>
    <mergeCell ref="A45:A47"/>
    <mergeCell ref="B45:B47"/>
    <mergeCell ref="C45:C47"/>
    <mergeCell ref="D45:D47"/>
    <mergeCell ref="E45:E47"/>
    <mergeCell ref="F45:F47"/>
    <mergeCell ref="G45:G47"/>
    <mergeCell ref="AD43:AD44"/>
    <mergeCell ref="AE43:AE44"/>
    <mergeCell ref="X43:X44"/>
    <mergeCell ref="Y43:Y44"/>
    <mergeCell ref="Z43:Z44"/>
    <mergeCell ref="AA43:AA44"/>
    <mergeCell ref="AB43:AB44"/>
    <mergeCell ref="AC43:AC44"/>
    <mergeCell ref="D43:D44"/>
    <mergeCell ref="E43:E44"/>
    <mergeCell ref="F43:F44"/>
    <mergeCell ref="G43:G44"/>
    <mergeCell ref="O43:O44"/>
    <mergeCell ref="P43:P44"/>
    <mergeCell ref="Q43:Q44"/>
    <mergeCell ref="R43:R44"/>
    <mergeCell ref="S43:S44"/>
    <mergeCell ref="H45:H47"/>
    <mergeCell ref="I45:I47"/>
    <mergeCell ref="J45:J47"/>
    <mergeCell ref="K45:K47"/>
    <mergeCell ref="L45:L47"/>
    <mergeCell ref="M45:M47"/>
    <mergeCell ref="AP43:AP44"/>
    <mergeCell ref="AQ43:AQ44"/>
    <mergeCell ref="AR43:AR44"/>
    <mergeCell ref="AF43:AF44"/>
    <mergeCell ref="AG43:AG44"/>
    <mergeCell ref="AN43:AN44"/>
    <mergeCell ref="AO43:AO44"/>
    <mergeCell ref="AM41:AM44"/>
    <mergeCell ref="N41:N44"/>
    <mergeCell ref="AH41:AH44"/>
    <mergeCell ref="AI41:AI44"/>
    <mergeCell ref="AJ41:AJ44"/>
    <mergeCell ref="AK41:AK44"/>
    <mergeCell ref="AL41:AL44"/>
    <mergeCell ref="T43:T44"/>
    <mergeCell ref="U43:U44"/>
    <mergeCell ref="V43:V44"/>
    <mergeCell ref="W43:W44"/>
    <mergeCell ref="T45:T47"/>
    <mergeCell ref="U45:U47"/>
    <mergeCell ref="V45:V47"/>
    <mergeCell ref="W45:W47"/>
    <mergeCell ref="X45:X47"/>
    <mergeCell ref="Y45:Y47"/>
    <mergeCell ref="N45:N47"/>
    <mergeCell ref="O45:O47"/>
    <mergeCell ref="P45:P47"/>
    <mergeCell ref="Q45:Q47"/>
    <mergeCell ref="R45:R47"/>
    <mergeCell ref="S45:S47"/>
    <mergeCell ref="AF45:AF47"/>
    <mergeCell ref="AG45:AG47"/>
    <mergeCell ref="AH45:AH47"/>
    <mergeCell ref="AI45:AI47"/>
    <mergeCell ref="AJ45:AJ47"/>
    <mergeCell ref="AK45:AK47"/>
    <mergeCell ref="Z45:Z47"/>
    <mergeCell ref="AA45:AA47"/>
    <mergeCell ref="AB45:AB47"/>
    <mergeCell ref="AC45:AC47"/>
    <mergeCell ref="AD45:AD47"/>
    <mergeCell ref="AE45:AE47"/>
    <mergeCell ref="AU8:AW8"/>
    <mergeCell ref="AX8:BA8"/>
    <mergeCell ref="AS7:BA7"/>
    <mergeCell ref="AR45:AR47"/>
    <mergeCell ref="AS45:AS47"/>
    <mergeCell ref="AS8:AT8"/>
    <mergeCell ref="AL45:AL47"/>
    <mergeCell ref="AM45:AM47"/>
    <mergeCell ref="AN45:AN47"/>
    <mergeCell ref="AO45:AO47"/>
    <mergeCell ref="AP45:AP47"/>
    <mergeCell ref="AQ45:AQ47"/>
    <mergeCell ref="AQ38:AQ40"/>
    <mergeCell ref="AR38:AR40"/>
    <mergeCell ref="AL38:AL40"/>
    <mergeCell ref="AM38:AM40"/>
    <mergeCell ref="AN38:AN40"/>
    <mergeCell ref="AO38:AO40"/>
    <mergeCell ref="AP38:AP40"/>
    <mergeCell ref="AQ36:AQ37"/>
    <mergeCell ref="AR36:AR37"/>
    <mergeCell ref="AO31:AO32"/>
    <mergeCell ref="AP31:AP32"/>
    <mergeCell ref="AQ31:AQ32"/>
  </mergeCells>
  <conditionalFormatting sqref="N15:N16 AL12 N12:N13">
    <cfRule type="expression" dxfId="185" priority="148">
      <formula>N12="EXTREMO"</formula>
    </cfRule>
    <cfRule type="expression" dxfId="184" priority="149">
      <formula>N12="MODERADO"</formula>
    </cfRule>
    <cfRule type="expression" dxfId="183" priority="150">
      <formula>N12="ALTO"</formula>
    </cfRule>
    <cfRule type="expression" dxfId="182" priority="151">
      <formula>N12="BAJO"</formula>
    </cfRule>
  </conditionalFormatting>
  <conditionalFormatting sqref="N15:N16 AL12 N12:N13">
    <cfRule type="expression" dxfId="181" priority="147">
      <formula>N12=" "</formula>
    </cfRule>
  </conditionalFormatting>
  <conditionalFormatting sqref="AL15">
    <cfRule type="expression" dxfId="180" priority="143">
      <formula>AL15="EXTREMO"</formula>
    </cfRule>
    <cfRule type="expression" dxfId="179" priority="144">
      <formula>AL15="MODERADO"</formula>
    </cfRule>
    <cfRule type="expression" dxfId="178" priority="145">
      <formula>AL15="ALTO"</formula>
    </cfRule>
    <cfRule type="expression" dxfId="177" priority="146">
      <formula>AL15="BAJO"</formula>
    </cfRule>
  </conditionalFormatting>
  <conditionalFormatting sqref="AL15">
    <cfRule type="expression" dxfId="176" priority="142">
      <formula>AL15=" "</formula>
    </cfRule>
  </conditionalFormatting>
  <conditionalFormatting sqref="AL16">
    <cfRule type="expression" dxfId="175" priority="138">
      <formula>AL16="EXTREMO"</formula>
    </cfRule>
    <cfRule type="expression" dxfId="174" priority="139">
      <formula>AL16="MODERADO"</formula>
    </cfRule>
    <cfRule type="expression" dxfId="173" priority="140">
      <formula>AL16="ALTO"</formula>
    </cfRule>
    <cfRule type="expression" dxfId="172" priority="141">
      <formula>AL16="BAJO"</formula>
    </cfRule>
  </conditionalFormatting>
  <conditionalFormatting sqref="AL16">
    <cfRule type="expression" dxfId="171" priority="137">
      <formula>AL16=" "</formula>
    </cfRule>
  </conditionalFormatting>
  <conditionalFormatting sqref="AL22">
    <cfRule type="expression" dxfId="170" priority="122">
      <formula>AL22=" "</formula>
    </cfRule>
  </conditionalFormatting>
  <conditionalFormatting sqref="AL20 N20">
    <cfRule type="expression" dxfId="169" priority="133">
      <formula>N20="EXTREMO"</formula>
    </cfRule>
    <cfRule type="expression" dxfId="168" priority="134">
      <formula>N20="MODERADO"</formula>
    </cfRule>
    <cfRule type="expression" dxfId="167" priority="135">
      <formula>N20="ALTO"</formula>
    </cfRule>
    <cfRule type="expression" dxfId="166" priority="136">
      <formula>N20="BAJO"</formula>
    </cfRule>
  </conditionalFormatting>
  <conditionalFormatting sqref="AL20 N20">
    <cfRule type="expression" dxfId="165" priority="132">
      <formula>N20=" "</formula>
    </cfRule>
  </conditionalFormatting>
  <conditionalFormatting sqref="N22">
    <cfRule type="expression" dxfId="164" priority="128">
      <formula>N22="EXTREMO"</formula>
    </cfRule>
    <cfRule type="expression" dxfId="163" priority="129">
      <formula>N22="MODERADO"</formula>
    </cfRule>
    <cfRule type="expression" dxfId="162" priority="130">
      <formula>N22="ALTO"</formula>
    </cfRule>
    <cfRule type="expression" dxfId="161" priority="131">
      <formula>N22="BAJO"</formula>
    </cfRule>
  </conditionalFormatting>
  <conditionalFormatting sqref="N22">
    <cfRule type="expression" dxfId="160" priority="127">
      <formula>N22=" "</formula>
    </cfRule>
  </conditionalFormatting>
  <conditionalFormatting sqref="AL22">
    <cfRule type="expression" dxfId="159" priority="123">
      <formula>AL22="EXTREMO"</formula>
    </cfRule>
    <cfRule type="expression" dxfId="158" priority="124">
      <formula>AL22="MODERADO"</formula>
    </cfRule>
    <cfRule type="expression" dxfId="157" priority="125">
      <formula>AL22="ALTO"</formula>
    </cfRule>
    <cfRule type="expression" dxfId="156" priority="126">
      <formula>AL22="BAJO"</formula>
    </cfRule>
  </conditionalFormatting>
  <conditionalFormatting sqref="N38">
    <cfRule type="expression" dxfId="155" priority="118">
      <formula>N38="EXTREMO"</formula>
    </cfRule>
    <cfRule type="expression" dxfId="154" priority="119">
      <formula>N38="MODERADO"</formula>
    </cfRule>
    <cfRule type="expression" dxfId="153" priority="120">
      <formula>N38="ALTO"</formula>
    </cfRule>
    <cfRule type="expression" dxfId="152" priority="121">
      <formula>N38="BAJO"</formula>
    </cfRule>
  </conditionalFormatting>
  <conditionalFormatting sqref="N38">
    <cfRule type="expression" dxfId="151" priority="117">
      <formula>N38=" "</formula>
    </cfRule>
  </conditionalFormatting>
  <conditionalFormatting sqref="AL38">
    <cfRule type="expression" dxfId="150" priority="113">
      <formula>AL38="EXTREMO"</formula>
    </cfRule>
    <cfRule type="expression" dxfId="149" priority="114">
      <formula>AL38="MODERADO"</formula>
    </cfRule>
    <cfRule type="expression" dxfId="148" priority="115">
      <formula>AL38="ALTO"</formula>
    </cfRule>
    <cfRule type="expression" dxfId="147" priority="116">
      <formula>AL38="BAJO"</formula>
    </cfRule>
  </conditionalFormatting>
  <conditionalFormatting sqref="AL38">
    <cfRule type="expression" dxfId="146" priority="112">
      <formula>AL38=" "</formula>
    </cfRule>
  </conditionalFormatting>
  <conditionalFormatting sqref="N41">
    <cfRule type="expression" dxfId="145" priority="108">
      <formula>N41="EXTREMO"</formula>
    </cfRule>
    <cfRule type="expression" dxfId="144" priority="109">
      <formula>N41="MODERADO"</formula>
    </cfRule>
    <cfRule type="expression" dxfId="143" priority="110">
      <formula>N41="ALTO"</formula>
    </cfRule>
    <cfRule type="expression" dxfId="142" priority="111">
      <formula>N41="BAJO"</formula>
    </cfRule>
  </conditionalFormatting>
  <conditionalFormatting sqref="N41">
    <cfRule type="expression" dxfId="141" priority="107">
      <formula>N41=" "</formula>
    </cfRule>
  </conditionalFormatting>
  <conditionalFormatting sqref="AL41">
    <cfRule type="expression" dxfId="140" priority="103">
      <formula>AL41="EXTREMO"</formula>
    </cfRule>
    <cfRule type="expression" dxfId="139" priority="104">
      <formula>AL41="MODERADO"</formula>
    </cfRule>
    <cfRule type="expression" dxfId="138" priority="105">
      <formula>AL41="ALTO"</formula>
    </cfRule>
    <cfRule type="expression" dxfId="137" priority="106">
      <formula>AL41="BAJO"</formula>
    </cfRule>
  </conditionalFormatting>
  <conditionalFormatting sqref="AL41">
    <cfRule type="expression" dxfId="136" priority="102">
      <formula>AL41=" "</formula>
    </cfRule>
  </conditionalFormatting>
  <conditionalFormatting sqref="N45">
    <cfRule type="expression" dxfId="135" priority="98">
      <formula>N45="EXTREMO"</formula>
    </cfRule>
    <cfRule type="expression" dxfId="134" priority="99">
      <formula>N45="MODERADO"</formula>
    </cfRule>
    <cfRule type="expression" dxfId="133" priority="100">
      <formula>N45="ALTO"</formula>
    </cfRule>
    <cfRule type="expression" dxfId="132" priority="101">
      <formula>N45="BAJO"</formula>
    </cfRule>
  </conditionalFormatting>
  <conditionalFormatting sqref="N45">
    <cfRule type="expression" dxfId="131" priority="97">
      <formula>N45=" "</formula>
    </cfRule>
  </conditionalFormatting>
  <conditionalFormatting sqref="AL45">
    <cfRule type="expression" dxfId="130" priority="93">
      <formula>AL45="EXTREMO"</formula>
    </cfRule>
    <cfRule type="expression" dxfId="129" priority="94">
      <formula>AL45="MODERADO"</formula>
    </cfRule>
    <cfRule type="expression" dxfId="128" priority="95">
      <formula>AL45="ALTO"</formula>
    </cfRule>
    <cfRule type="expression" dxfId="127" priority="96">
      <formula>AL45="BAJO"</formula>
    </cfRule>
  </conditionalFormatting>
  <conditionalFormatting sqref="AL45">
    <cfRule type="expression" dxfId="126" priority="92">
      <formula>AL45=" "</formula>
    </cfRule>
  </conditionalFormatting>
  <conditionalFormatting sqref="N34 N36">
    <cfRule type="expression" dxfId="125" priority="88">
      <formula>N34="EXTREMO"</formula>
    </cfRule>
    <cfRule type="expression" dxfId="124" priority="89">
      <formula>N34="MODERADO"</formula>
    </cfRule>
    <cfRule type="expression" dxfId="123" priority="90">
      <formula>N34="ALTO"</formula>
    </cfRule>
    <cfRule type="expression" dxfId="122" priority="91">
      <formula>N34="BAJO"</formula>
    </cfRule>
  </conditionalFormatting>
  <conditionalFormatting sqref="N34 N36">
    <cfRule type="expression" dxfId="121" priority="87">
      <formula>N34=" "</formula>
    </cfRule>
  </conditionalFormatting>
  <conditionalFormatting sqref="AL34 AL36">
    <cfRule type="expression" dxfId="120" priority="83">
      <formula>AL34="EXTREMO"</formula>
    </cfRule>
    <cfRule type="expression" dxfId="119" priority="84">
      <formula>AL34="MODERADO"</formula>
    </cfRule>
    <cfRule type="expression" dxfId="118" priority="85">
      <formula>AL34="ALTO"</formula>
    </cfRule>
    <cfRule type="expression" dxfId="117" priority="86">
      <formula>AL34="BAJO"</formula>
    </cfRule>
  </conditionalFormatting>
  <conditionalFormatting sqref="AL34 AL36">
    <cfRule type="expression" dxfId="116" priority="82">
      <formula>AL34=" "</formula>
    </cfRule>
  </conditionalFormatting>
  <conditionalFormatting sqref="AL10">
    <cfRule type="expression" dxfId="115" priority="78">
      <formula>AL10="EXTREMO"</formula>
    </cfRule>
    <cfRule type="expression" dxfId="114" priority="79">
      <formula>AL10="MODERADO"</formula>
    </cfRule>
    <cfRule type="expression" dxfId="113" priority="80">
      <formula>AL10="ALTO"</formula>
    </cfRule>
    <cfRule type="expression" dxfId="112" priority="81">
      <formula>AL10="BAJO"</formula>
    </cfRule>
  </conditionalFormatting>
  <conditionalFormatting sqref="AL10">
    <cfRule type="expression" dxfId="111" priority="77">
      <formula>AL10=" "</formula>
    </cfRule>
  </conditionalFormatting>
  <conditionalFormatting sqref="N10">
    <cfRule type="expression" dxfId="110" priority="73">
      <formula>N10="EXTREMO"</formula>
    </cfRule>
    <cfRule type="expression" dxfId="109" priority="74">
      <formula>N10="MODERADO"</formula>
    </cfRule>
    <cfRule type="expression" dxfId="108" priority="75">
      <formula>N10="ALTO"</formula>
    </cfRule>
    <cfRule type="expression" dxfId="107" priority="76">
      <formula>N10="BAJO"</formula>
    </cfRule>
  </conditionalFormatting>
  <conditionalFormatting sqref="N10">
    <cfRule type="expression" dxfId="106" priority="72">
      <formula>N10=" "</formula>
    </cfRule>
  </conditionalFormatting>
  <conditionalFormatting sqref="N11">
    <cfRule type="expression" dxfId="105" priority="68">
      <formula>N11="EXTREMO"</formula>
    </cfRule>
    <cfRule type="expression" dxfId="104" priority="69">
      <formula>N11="MODERADO"</formula>
    </cfRule>
    <cfRule type="expression" dxfId="103" priority="70">
      <formula>N11="ALTO"</formula>
    </cfRule>
    <cfRule type="expression" dxfId="102" priority="71">
      <formula>N11="BAJO"</formula>
    </cfRule>
  </conditionalFormatting>
  <conditionalFormatting sqref="N11">
    <cfRule type="expression" dxfId="101" priority="67">
      <formula>N11=" "</formula>
    </cfRule>
  </conditionalFormatting>
  <conditionalFormatting sqref="AL11">
    <cfRule type="expression" dxfId="100" priority="63">
      <formula>AL11="EXTREMO"</formula>
    </cfRule>
    <cfRule type="expression" dxfId="99" priority="64">
      <formula>AL11="MODERADO"</formula>
    </cfRule>
    <cfRule type="expression" dxfId="98" priority="65">
      <formula>AL11="ALTO"</formula>
    </cfRule>
    <cfRule type="expression" dxfId="97" priority="66">
      <formula>AL11="BAJO"</formula>
    </cfRule>
  </conditionalFormatting>
  <conditionalFormatting sqref="AL11">
    <cfRule type="expression" dxfId="96" priority="62">
      <formula>AL11=" "</formula>
    </cfRule>
  </conditionalFormatting>
  <conditionalFormatting sqref="N26">
    <cfRule type="expression" dxfId="95" priority="58">
      <formula>N26="EXTREMO"</formula>
    </cfRule>
    <cfRule type="expression" dxfId="94" priority="59">
      <formula>N26="MODERADO"</formula>
    </cfRule>
    <cfRule type="expression" dxfId="93" priority="60">
      <formula>N26="ALTO"</formula>
    </cfRule>
    <cfRule type="expression" dxfId="92" priority="61">
      <formula>N26="BAJO"</formula>
    </cfRule>
  </conditionalFormatting>
  <conditionalFormatting sqref="N26">
    <cfRule type="expression" dxfId="91" priority="57">
      <formula>N26=" "</formula>
    </cfRule>
  </conditionalFormatting>
  <conditionalFormatting sqref="N28:N29">
    <cfRule type="expression" dxfId="90" priority="42">
      <formula>N28="EXTREMO"</formula>
    </cfRule>
    <cfRule type="expression" dxfId="89" priority="43">
      <formula>N28="MODERADO"</formula>
    </cfRule>
    <cfRule type="expression" dxfId="88" priority="44">
      <formula>N28="ALTO"</formula>
    </cfRule>
    <cfRule type="expression" dxfId="87" priority="45">
      <formula>N28="BAJO"</formula>
    </cfRule>
  </conditionalFormatting>
  <conditionalFormatting sqref="N28:N29">
    <cfRule type="expression" dxfId="86" priority="41">
      <formula>N28=" "</formula>
    </cfRule>
  </conditionalFormatting>
  <conditionalFormatting sqref="AI26">
    <cfRule type="cellIs" dxfId="85" priority="54" operator="equal">
      <formula>"DEBIL"</formula>
    </cfRule>
    <cfRule type="cellIs" dxfId="84" priority="55" operator="equal">
      <formula>"MODERADO"</formula>
    </cfRule>
    <cfRule type="cellIs" dxfId="83" priority="56" operator="equal">
      <formula>"FUERTE"</formula>
    </cfRule>
  </conditionalFormatting>
  <conditionalFormatting sqref="N27">
    <cfRule type="expression" dxfId="82" priority="50">
      <formula>N27="EXTREMO"</formula>
    </cfRule>
    <cfRule type="expression" dxfId="81" priority="51">
      <formula>N27="MODERADO"</formula>
    </cfRule>
    <cfRule type="expression" dxfId="80" priority="52">
      <formula>N27="ALTO"</formula>
    </cfRule>
    <cfRule type="expression" dxfId="79" priority="53">
      <formula>N27="BAJO"</formula>
    </cfRule>
  </conditionalFormatting>
  <conditionalFormatting sqref="N27">
    <cfRule type="expression" dxfId="78" priority="49">
      <formula>N27=" "</formula>
    </cfRule>
  </conditionalFormatting>
  <conditionalFormatting sqref="AL29">
    <cfRule type="expression" dxfId="77" priority="32">
      <formula>AL29="EXTREMO"</formula>
    </cfRule>
    <cfRule type="expression" dxfId="76" priority="33">
      <formula>AL29="MODERADO"</formula>
    </cfRule>
    <cfRule type="expression" dxfId="75" priority="34">
      <formula>AL29="ALTO"</formula>
    </cfRule>
    <cfRule type="expression" dxfId="74" priority="35">
      <formula>AL29="BAJO"</formula>
    </cfRule>
  </conditionalFormatting>
  <conditionalFormatting sqref="AL29">
    <cfRule type="expression" dxfId="73" priority="31">
      <formula>AL29=" "</formula>
    </cfRule>
  </conditionalFormatting>
  <conditionalFormatting sqref="AI27">
    <cfRule type="cellIs" dxfId="72" priority="46" operator="equal">
      <formula>"DEBIL"</formula>
    </cfRule>
    <cfRule type="cellIs" dxfId="71" priority="47" operator="equal">
      <formula>"MODERADO"</formula>
    </cfRule>
    <cfRule type="cellIs" dxfId="70" priority="48" operator="equal">
      <formula>"FUERTE"</formula>
    </cfRule>
  </conditionalFormatting>
  <conditionalFormatting sqref="AL28">
    <cfRule type="expression" dxfId="69" priority="37">
      <formula>AL28="EXTREMO"</formula>
    </cfRule>
    <cfRule type="expression" dxfId="68" priority="38">
      <formula>AL28="MODERADO"</formula>
    </cfRule>
    <cfRule type="expression" dxfId="67" priority="39">
      <formula>AL28="ALTO"</formula>
    </cfRule>
    <cfRule type="expression" dxfId="66" priority="40">
      <formula>AL28="BAJO"</formula>
    </cfRule>
  </conditionalFormatting>
  <conditionalFormatting sqref="AL28">
    <cfRule type="expression" dxfId="65" priority="36">
      <formula>AL28=" "</formula>
    </cfRule>
  </conditionalFormatting>
  <conditionalFormatting sqref="N30">
    <cfRule type="expression" dxfId="64" priority="27">
      <formula>N30="EXTREMO"</formula>
    </cfRule>
    <cfRule type="expression" dxfId="63" priority="28">
      <formula>N30="MODERADO"</formula>
    </cfRule>
    <cfRule type="expression" dxfId="62" priority="29">
      <formula>N30="ALTO"</formula>
    </cfRule>
    <cfRule type="expression" dxfId="61" priority="30">
      <formula>N30="BAJO"</formula>
    </cfRule>
  </conditionalFormatting>
  <conditionalFormatting sqref="N30">
    <cfRule type="expression" dxfId="60" priority="26">
      <formula>N30=" "</formula>
    </cfRule>
  </conditionalFormatting>
  <conditionalFormatting sqref="AL30">
    <cfRule type="expression" dxfId="59" priority="22">
      <formula>AL30="EXTREMO"</formula>
    </cfRule>
    <cfRule type="expression" dxfId="58" priority="23">
      <formula>AL30="MODERADO"</formula>
    </cfRule>
    <cfRule type="expression" dxfId="57" priority="24">
      <formula>AL30="ALTO"</formula>
    </cfRule>
    <cfRule type="expression" dxfId="56" priority="25">
      <formula>AL30="BAJO"</formula>
    </cfRule>
  </conditionalFormatting>
  <conditionalFormatting sqref="AL30">
    <cfRule type="expression" dxfId="55" priority="21">
      <formula>AL30=" "</formula>
    </cfRule>
  </conditionalFormatting>
  <conditionalFormatting sqref="N31">
    <cfRule type="expression" dxfId="54" priority="17">
      <formula>N31="EXTREMO"</formula>
    </cfRule>
    <cfRule type="expression" dxfId="53" priority="18">
      <formula>N31="MODERADO"</formula>
    </cfRule>
    <cfRule type="expression" dxfId="52" priority="19">
      <formula>N31="ALTO"</formula>
    </cfRule>
    <cfRule type="expression" dxfId="51" priority="20">
      <formula>N31="BAJO"</formula>
    </cfRule>
  </conditionalFormatting>
  <conditionalFormatting sqref="N31">
    <cfRule type="expression" dxfId="50" priority="16">
      <formula>N31=" "</formula>
    </cfRule>
  </conditionalFormatting>
  <conditionalFormatting sqref="AL31">
    <cfRule type="expression" dxfId="49" priority="12">
      <formula>AL31="EXTREMO"</formula>
    </cfRule>
    <cfRule type="expression" dxfId="48" priority="13">
      <formula>AL31="MODERADO"</formula>
    </cfRule>
    <cfRule type="expression" dxfId="47" priority="14">
      <formula>AL31="ALTO"</formula>
    </cfRule>
    <cfRule type="expression" dxfId="46" priority="15">
      <formula>AL31="BAJO"</formula>
    </cfRule>
  </conditionalFormatting>
  <conditionalFormatting sqref="AL31">
    <cfRule type="expression" dxfId="45" priority="11">
      <formula>AL31=" "</formula>
    </cfRule>
  </conditionalFormatting>
  <conditionalFormatting sqref="N33">
    <cfRule type="expression" dxfId="44" priority="7">
      <formula>N33="EXTREMO"</formula>
    </cfRule>
    <cfRule type="expression" dxfId="43" priority="8">
      <formula>N33="MODERADO"</formula>
    </cfRule>
    <cfRule type="expression" dxfId="42" priority="9">
      <formula>N33="ALTO"</formula>
    </cfRule>
    <cfRule type="expression" dxfId="41" priority="10">
      <formula>N33="BAJO"</formula>
    </cfRule>
  </conditionalFormatting>
  <conditionalFormatting sqref="N33">
    <cfRule type="expression" dxfId="40" priority="6">
      <formula>N33=" "</formula>
    </cfRule>
  </conditionalFormatting>
  <conditionalFormatting sqref="AL33">
    <cfRule type="expression" dxfId="39" priority="2">
      <formula>AL33="EXTREMO"</formula>
    </cfRule>
    <cfRule type="expression" dxfId="38" priority="3">
      <formula>AL33="MODERADO"</formula>
    </cfRule>
    <cfRule type="expression" dxfId="37" priority="4">
      <formula>AL33="ALTO"</formula>
    </cfRule>
    <cfRule type="expression" dxfId="36" priority="5">
      <formula>AL33="BAJO"</formula>
    </cfRule>
  </conditionalFormatting>
  <conditionalFormatting sqref="AL33">
    <cfRule type="expression" dxfId="35" priority="1">
      <formula>AL33=" "</formula>
    </cfRule>
  </conditionalFormatting>
  <dataValidations count="6">
    <dataValidation type="list" allowBlank="1" showInputMessage="1" showErrorMessage="1" prompt="1 - Rara vez_x000a_2 - Improbable_x000a_3 - Posible_x000a_4 - Probable_x000a_5 - Casi Seguro" sqref="AI45">
      <formula1>#REF!</formula1>
    </dataValidation>
    <dataValidation type="list" allowBlank="1" showInputMessage="1" showErrorMessage="1" prompt="1 - Insignificante_x000a_2 - Menor_x000a_3 - Moderado_x000a_4 - Mayor_x000a_5 - Catastrófico" sqref="AJ45">
      <formula1>#REF!</formula1>
    </dataValidation>
    <dataValidation type="list" allowBlank="1" showInputMessage="1" showErrorMessage="1" sqref="AM45 AE45 AC45 AA45 Y45 W45 U45 P45:R45">
      <formula1>#REF!</formula1>
    </dataValidation>
    <dataValidation allowBlank="1" showInputMessage="1" showErrorMessage="1" prompt="Se incluyó a partír de la Guía de riesgos borrador del DAFP" sqref="S9"/>
    <dataValidation allowBlank="1" showInputMessage="1" showErrorMessage="1" prompt="Estructura:_x000a__x000a_Responsable +_x000a_Periodicidad +_x000a_Proposito +_x000a_Cómo se realiza +_x000a_Qué pasa con las desviaciones +_x000a_Evidencia" sqref="O8:O9"/>
    <dataValidation allowBlank="1" showInputMessage="1" showErrorMessage="1" prompt="En la Guía del DAFP añaden campo de descripción del riesgo. Es la suma de Riesgo + Causas + Consecuencias: Complejiza el asunto" sqref="F7"/>
  </dataValidations>
  <pageMargins left="0.7" right="0.7" top="0.75" bottom="0.75" header="0.3" footer="0.3"/>
  <pageSetup paperSize="125" scale="45" fitToHeight="0" orientation="landscape" r:id="rId1"/>
  <drawing r:id="rId2"/>
  <legacyDrawing r:id="rId3"/>
  <extLst>
    <ext xmlns:x14="http://schemas.microsoft.com/office/spreadsheetml/2009/9/main" uri="{CCE6A557-97BC-4b89-ADB6-D9C93CAAB3DF}">
      <x14:dataValidations xmlns:xm="http://schemas.microsoft.com/office/excel/2006/main" count="36">
        <x14:dataValidation type="list" allowBlank="1" showInputMessage="1" showErrorMessage="1">
          <x14:formula1>
            <xm:f>[9]Listas!#REF!</xm:f>
          </x14:formula1>
          <xm:sqref>J31 J33 AM31 AM33 D31:E33 AE31:AE33 AC31:AC33 AA31:AA33 Y31:Y33 W31:W33 U31:U33 P31:S33</xm:sqref>
        </x14:dataValidation>
        <x14:dataValidation type="list" allowBlank="1" showInputMessage="1" showErrorMessage="1" prompt="1 - Rara vez_x000a_2 - Improbable_x000a_3 - Posible_x000a_4 - Probable_x000a_5 - Casi Seguro">
          <x14:formula1>
            <xm:f>[9]Listas!#REF!</xm:f>
          </x14:formula1>
          <xm:sqref>K33 K31 AI31 AI33</xm:sqref>
        </x14:dataValidation>
        <x14:dataValidation type="list" allowBlank="1" showInputMessage="1" showErrorMessage="1" prompt="1 - Insignificante_x000a_2 - Menor_x000a_3 - Moderado_x000a_4 - Mayor_x000a_5 - Catastrófico">
          <x14:formula1>
            <xm:f>[9]Listas!#REF!</xm:f>
          </x14:formula1>
          <xm:sqref>L33 L31 AJ31 AJ33</xm:sqref>
        </x14:dataValidation>
        <x14:dataValidation type="list" allowBlank="1" showInputMessage="1" showErrorMessage="1">
          <x14:formula1>
            <xm:f>[8]Listas!#REF!</xm:f>
          </x14:formula1>
          <xm:sqref>J30 AM30 D30:E30 AE30 AC30 AA30 Y30 W30 U30 P30:S30</xm:sqref>
        </x14:dataValidation>
        <x14:dataValidation type="list" allowBlank="1" showInputMessage="1" showErrorMessage="1" prompt="1 - Rara vez_x000a_2 - Improbable_x000a_3 - Posible_x000a_4 - Probable_x000a_5 - Casi Seguro">
          <x14:formula1>
            <xm:f>[8]Listas!#REF!</xm:f>
          </x14:formula1>
          <xm:sqref>AI30 K30</xm:sqref>
        </x14:dataValidation>
        <x14:dataValidation type="list" allowBlank="1" showInputMessage="1" showErrorMessage="1" prompt="1 - Insignificante_x000a_2 - Menor_x000a_3 - Moderado_x000a_4 - Mayor_x000a_5 - Catastrófico">
          <x14:formula1>
            <xm:f>[8]Listas!#REF!</xm:f>
          </x14:formula1>
          <xm:sqref>AJ30 L30</xm:sqref>
        </x14:dataValidation>
        <x14:dataValidation type="list" allowBlank="1" showInputMessage="1" showErrorMessage="1">
          <x14:formula1>
            <xm:f>[7]Listas!#REF!</xm:f>
          </x14:formula1>
          <xm:sqref>AM28:AM29 J28:J29 D28:E29 AE28:AE29 AC28:AC29 AA28:AA29 Y28:Y29 W28:W29 U28:U29 P28:S29</xm:sqref>
        </x14:dataValidation>
        <x14:dataValidation type="list" allowBlank="1" showInputMessage="1" showErrorMessage="1" prompt="1 - Rara vez_x000a_2 - Improbable_x000a_3 - Posible_x000a_4 - Probable_x000a_5 - Casi Seguro">
          <x14:formula1>
            <xm:f>[7]Listas!#REF!</xm:f>
          </x14:formula1>
          <xm:sqref>AI28:AI29 K28:K29</xm:sqref>
        </x14:dataValidation>
        <x14:dataValidation type="list" allowBlank="1" showInputMessage="1" showErrorMessage="1" prompt="1 - Insignificante_x000a_2 - Menor_x000a_3 - Moderado_x000a_4 - Mayor_x000a_5 - Catastrófico">
          <x14:formula1>
            <xm:f>[7]Listas!#REF!</xm:f>
          </x14:formula1>
          <xm:sqref>AJ28:AJ29 L28:L29</xm:sqref>
        </x14:dataValidation>
        <x14:dataValidation type="list" allowBlank="1" showInputMessage="1" showErrorMessage="1" prompt="1 - Insignificante_x000a_2 - Menor_x000a_3 - Moderado_x000a_4 - Mayor_x000a_5 - Catastrófico">
          <x14:formula1>
            <xm:f>[6]Listas!#REF!</xm:f>
          </x14:formula1>
          <xm:sqref>L26:L27 AK26:AK27</xm:sqref>
        </x14:dataValidation>
        <x14:dataValidation type="list" allowBlank="1" showInputMessage="1" showErrorMessage="1" prompt="1 - Rara vez_x000a_2 - Improbable_x000a_3 - Posible_x000a_4 - Probable_x000a_5 - Casi Seguro">
          <x14:formula1>
            <xm:f>[6]Listas!#REF!</xm:f>
          </x14:formula1>
          <xm:sqref>K26:K27 AJ26:AJ27</xm:sqref>
        </x14:dataValidation>
        <x14:dataValidation type="list" allowBlank="1" showInputMessage="1" showErrorMessage="1">
          <x14:formula1>
            <xm:f>[6]Listas!#REF!</xm:f>
          </x14:formula1>
          <xm:sqref>J26:J27 D26:E27 AE26:AE27 AC26:AC27 AA26:AA27 Y26:Y27 W26:W27 U26:U27 P26:S27 AM26:AM27</xm:sqref>
        </x14:dataValidation>
        <x14:dataValidation type="list" allowBlank="1" showInputMessage="1" showErrorMessage="1">
          <x14:formula1>
            <xm:f>[2]Listas!#REF!</xm:f>
          </x14:formula1>
          <xm:sqref>J11 AM11 D11:E11 AE11 AC11 AA11 Y11 W11 U11 P11:S11</xm:sqref>
        </x14:dataValidation>
        <x14:dataValidation type="list" allowBlank="1" showInputMessage="1" showErrorMessage="1" prompt="1 - Rara vez_x000a_2 - Improbable_x000a_3 - Posible_x000a_4 - Probable_x000a_5 - Casi Seguro">
          <x14:formula1>
            <xm:f>[2]Listas!#REF!</xm:f>
          </x14:formula1>
          <xm:sqref>K11 AI11</xm:sqref>
        </x14:dataValidation>
        <x14:dataValidation type="list" allowBlank="1" showInputMessage="1" showErrorMessage="1" prompt="1 - Insignificante_x000a_2 - Menor_x000a_3 - Moderado_x000a_4 - Mayor_x000a_5 - Catastrófico">
          <x14:formula1>
            <xm:f>[2]Listas!#REF!</xm:f>
          </x14:formula1>
          <xm:sqref>L11 AJ11</xm:sqref>
        </x14:dataValidation>
        <x14:dataValidation type="list" allowBlank="1" showInputMessage="1" showErrorMessage="1">
          <x14:formula1>
            <xm:f>[1]Listas!#REF!</xm:f>
          </x14:formula1>
          <xm:sqref>J10 AM10 AE10 AC10 AA10 Y10 W10 U10 P10:S10</xm:sqref>
        </x14:dataValidation>
        <x14:dataValidation type="list" allowBlank="1" showInputMessage="1" showErrorMessage="1" prompt="1 - Rara vez_x000a_2 - Improbable_x000a_3 - Posible_x000a_4 - Probable_x000a_5 - Casi Seguro">
          <x14:formula1>
            <xm:f>[1]Listas!#REF!</xm:f>
          </x14:formula1>
          <xm:sqref>K10 AI10</xm:sqref>
        </x14:dataValidation>
        <x14:dataValidation type="list" allowBlank="1" showInputMessage="1" showErrorMessage="1" prompt="1 - Insignificante_x000a_2 - Menor_x000a_3 - Moderado_x000a_4 - Mayor_x000a_5 - Catastrófico">
          <x14:formula1>
            <xm:f>[1]Listas!#REF!</xm:f>
          </x14:formula1>
          <xm:sqref>L10 AJ10</xm:sqref>
        </x14:dataValidation>
        <x14:dataValidation type="list" allowBlank="1" showInputMessage="1" showErrorMessage="1" prompt="1 - Insignificante_x000a_2 - Menor_x000a_3 - Moderado_x000a_4 - Mayor_x000a_5 - Catastrófico">
          <x14:formula1>
            <xm:f>[10]Listas!#REF!</xm:f>
          </x14:formula1>
          <xm:sqref>AJ34:AJ37 L34:L37</xm:sqref>
        </x14:dataValidation>
        <x14:dataValidation type="list" allowBlank="1" showInputMessage="1" showErrorMessage="1" prompt="1 - Rara vez_x000a_2 - Improbable_x000a_3 - Posible_x000a_4 - Probable_x000a_5 - Casi Seguro">
          <x14:formula1>
            <xm:f>[10]Listas!#REF!</xm:f>
          </x14:formula1>
          <xm:sqref>AI34:AI37 K34:K37</xm:sqref>
        </x14:dataValidation>
        <x14:dataValidation type="list" allowBlank="1" showInputMessage="1" showErrorMessage="1">
          <x14:formula1>
            <xm:f>[10]Listas!#REF!</xm:f>
          </x14:formula1>
          <xm:sqref>D34:E37 AM34:AM37 AE34:AE36 AC34:AC36 AA34:AA36 Y34:Y36 W34:W36 U34:U36 P34:S36 J34 J36:J37</xm:sqref>
        </x14:dataValidation>
        <x14:dataValidation type="list" allowBlank="1" showInputMessage="1" showErrorMessage="1" prompt="1 - Rara vez_x000a_2 - Improbable_x000a_3 - Posible_x000a_4 - Probable_x000a_5 - Casi Seguro">
          <x14:formula1>
            <xm:f>[12]Listas!#REF!</xm:f>
          </x14:formula1>
          <xm:sqref>K41 AI41</xm:sqref>
        </x14:dataValidation>
        <x14:dataValidation type="list" allowBlank="1" showInputMessage="1" showErrorMessage="1" prompt="1 - Insignificante_x000a_2 - Menor_x000a_3 - Moderado_x000a_4 - Mayor_x000a_5 - Catastrófico">
          <x14:formula1>
            <xm:f>[12]Listas!#REF!</xm:f>
          </x14:formula1>
          <xm:sqref>L41 AJ41</xm:sqref>
        </x14:dataValidation>
        <x14:dataValidation type="list" allowBlank="1" showInputMessage="1" showErrorMessage="1">
          <x14:formula1>
            <xm:f>[12]Listas!#REF!</xm:f>
          </x14:formula1>
          <xm:sqref>D41:D43 J41 AM41 AE41:AE43 AC41:AC43 AA41:AA43 Y41:Y43 W41:W43 U41:U43 P41:S43</xm:sqref>
        </x14:dataValidation>
        <x14:dataValidation type="list" allowBlank="1" showInputMessage="1" showErrorMessage="1" prompt="1 - Rara vez_x000a_2 - Improbable_x000a_3 - Posible_x000a_4 - Probable_x000a_5 - Casi Seguro">
          <x14:formula1>
            <xm:f>[5]Listas!#REF!</xm:f>
          </x14:formula1>
          <xm:sqref>AI22 K22</xm:sqref>
        </x14:dataValidation>
        <x14:dataValidation type="list" allowBlank="1" showInputMessage="1" showErrorMessage="1" prompt="1 - Insignificante_x000a_2 - Menor_x000a_3 - Moderado_x000a_4 - Mayor_x000a_5 - Catastrófico">
          <x14:formula1>
            <xm:f>[5]Listas!#REF!</xm:f>
          </x14:formula1>
          <xm:sqref>AJ22 L22</xm:sqref>
        </x14:dataValidation>
        <x14:dataValidation type="list" allowBlank="1" showInputMessage="1" showErrorMessage="1">
          <x14:formula1>
            <xm:f>[5]Listas!#REF!</xm:f>
          </x14:formula1>
          <xm:sqref>J22 AE22 AC22 AA22 Y22 W22 U22 P22:S22 AM22 D22:E25</xm:sqref>
        </x14:dataValidation>
        <x14:dataValidation type="list" allowBlank="1" showInputMessage="1" showErrorMessage="1" prompt="1 - Rara vez_x000a_2 - Improbable_x000a_3 - Posible_x000a_4 - Probable_x000a_5 - Casi Seguro">
          <x14:formula1>
            <xm:f>[4]Listas!#REF!</xm:f>
          </x14:formula1>
          <xm:sqref>K20 AI20</xm:sqref>
        </x14:dataValidation>
        <x14:dataValidation type="list" allowBlank="1" showInputMessage="1" showErrorMessage="1" prompt="1 - Insignificante_x000a_2 - Menor_x000a_3 - Moderado_x000a_4 - Mayor_x000a_5 - Catastrófico">
          <x14:formula1>
            <xm:f>[4]Listas!#REF!</xm:f>
          </x14:formula1>
          <xm:sqref>L20 AJ20</xm:sqref>
        </x14:dataValidation>
        <x14:dataValidation type="list" allowBlank="1" showInputMessage="1" showErrorMessage="1">
          <x14:formula1>
            <xm:f>[4]Listas!#REF!</xm:f>
          </x14:formula1>
          <xm:sqref>J20 AE20 AC20 AA20 Y20 W20 U20 P20:S20 AM20 D20:E21</xm:sqref>
        </x14:dataValidation>
        <x14:dataValidation type="list" allowBlank="1" showInputMessage="1" showErrorMessage="1" prompt="1 - Rara vez_x000a_2 - Improbable_x000a_3 - Posible_x000a_4 - Probable_x000a_5 - Casi Seguro">
          <x14:formula1>
            <xm:f>[3]Listas!#REF!</xm:f>
          </x14:formula1>
          <xm:sqref>K12:K13 K15:K16 AI12 AI15:AI16</xm:sqref>
        </x14:dataValidation>
        <x14:dataValidation type="list" allowBlank="1" showInputMessage="1" showErrorMessage="1" prompt="1 - Insignificante_x000a_2 - Menor_x000a_3 - Moderado_x000a_4 - Mayor_x000a_5 - Catastrófico">
          <x14:formula1>
            <xm:f>[3]Listas!#REF!</xm:f>
          </x14:formula1>
          <xm:sqref>L12:L13 L15:L16 AJ12 AJ15:AJ16</xm:sqref>
        </x14:dataValidation>
        <x14:dataValidation type="list" allowBlank="1" showInputMessage="1" showErrorMessage="1">
          <x14:formula1>
            <xm:f>[3]Listas!#REF!</xm:f>
          </x14:formula1>
          <xm:sqref>D12:E19 AM12:AM19 J15:J16 J12:J13 AE15:AE16 AE12 AC15:AC16 AC12 AA15:AA16 AA12 Y15:Y16 Y12 W15:W16 W12 U15:U16 U12 R12:S12 R15:S16 P12:Q19</xm:sqref>
        </x14:dataValidation>
        <x14:dataValidation type="list" allowBlank="1" showInputMessage="1" showErrorMessage="1" prompt="1 - Insignificante_x000a_2 - Menor_x000a_3 - Moderado_x000a_4 - Mayor_x000a_5 - Catastrófico">
          <x14:formula1>
            <xm:f>[11]Listas!#REF!</xm:f>
          </x14:formula1>
          <xm:sqref>AJ38:AJ40 L38:L40</xm:sqref>
        </x14:dataValidation>
        <x14:dataValidation type="list" allowBlank="1" showInputMessage="1" showErrorMessage="1" prompt="1 - Rara vez_x000a_2 - Improbable_x000a_3 - Posible_x000a_4 - Probable_x000a_5 - Casi Seguro">
          <x14:formula1>
            <xm:f>[11]Listas!#REF!</xm:f>
          </x14:formula1>
          <xm:sqref>AI38:AI40 K38:K40</xm:sqref>
        </x14:dataValidation>
        <x14:dataValidation type="list" allowBlank="1" showInputMessage="1" showErrorMessage="1">
          <x14:formula1>
            <xm:f>[11]Listas!#REF!</xm:f>
          </x14:formula1>
          <xm:sqref>AM38:AM40 P38:S40 U38:U40 W38:W40 Y38:Y40 AA38:AA40 AC38:AC40 AE38:AE40 D38:E40 J38:J40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view="pageBreakPreview" topLeftCell="F16" zoomScale="55" zoomScaleNormal="55" zoomScaleSheetLayoutView="55" workbookViewId="0">
      <selection activeCell="M16" sqref="M16"/>
    </sheetView>
  </sheetViews>
  <sheetFormatPr baseColWidth="10" defaultColWidth="14.85546875" defaultRowHeight="18.75" x14ac:dyDescent="0.3"/>
  <cols>
    <col min="1" max="1" width="14.85546875" style="146"/>
    <col min="2" max="2" width="6.85546875" style="205" customWidth="1"/>
    <col min="3" max="3" width="45.5703125" style="206" customWidth="1"/>
    <col min="4" max="4" width="28.140625" style="146" customWidth="1"/>
    <col min="5" max="5" width="22.85546875" style="146" customWidth="1"/>
    <col min="6" max="6" width="27.85546875" style="146" customWidth="1"/>
    <col min="7" max="7" width="35.42578125" style="146" customWidth="1"/>
    <col min="8" max="8" width="14.85546875" style="146"/>
    <col min="9" max="9" width="10.140625" style="146" customWidth="1"/>
    <col min="10" max="10" width="41" style="234" customWidth="1"/>
    <col min="11" max="11" width="14.85546875" style="235"/>
    <col min="12" max="12" width="14.85546875" style="146"/>
    <col min="13" max="13" width="28.140625" style="146" customWidth="1"/>
    <col min="14" max="16384" width="14.85546875" style="146"/>
  </cols>
  <sheetData>
    <row r="1" spans="1:17" ht="14.25" customHeight="1" x14ac:dyDescent="0.3">
      <c r="A1" s="539" t="s">
        <v>538</v>
      </c>
      <c r="B1" s="540"/>
      <c r="C1" s="540"/>
      <c r="D1" s="540"/>
      <c r="E1" s="540"/>
      <c r="F1" s="540"/>
      <c r="G1" s="540"/>
      <c r="H1" s="540"/>
      <c r="I1" s="540"/>
      <c r="J1" s="540"/>
      <c r="K1" s="540"/>
      <c r="L1" s="540"/>
      <c r="M1" s="540"/>
      <c r="N1" s="540"/>
      <c r="O1" s="540"/>
      <c r="P1" s="540"/>
      <c r="Q1" s="541"/>
    </row>
    <row r="2" spans="1:17" ht="17.25" thickBot="1" x14ac:dyDescent="0.35">
      <c r="A2" s="542"/>
      <c r="B2" s="543"/>
      <c r="C2" s="543"/>
      <c r="D2" s="543"/>
      <c r="E2" s="543"/>
      <c r="F2" s="543"/>
      <c r="G2" s="543"/>
      <c r="H2" s="543"/>
      <c r="I2" s="543"/>
      <c r="J2" s="543"/>
      <c r="K2" s="543"/>
      <c r="L2" s="543"/>
      <c r="M2" s="543"/>
      <c r="N2" s="543"/>
      <c r="O2" s="543"/>
      <c r="P2" s="543"/>
      <c r="Q2" s="544"/>
    </row>
    <row r="3" spans="1:17" ht="17.25" thickBot="1" x14ac:dyDescent="0.35">
      <c r="A3" s="545" t="s">
        <v>539</v>
      </c>
      <c r="B3" s="546"/>
      <c r="C3" s="546"/>
      <c r="D3" s="546"/>
      <c r="E3" s="546"/>
      <c r="F3" s="546"/>
      <c r="G3" s="546"/>
      <c r="H3" s="546"/>
      <c r="I3" s="546"/>
      <c r="J3" s="546"/>
      <c r="K3" s="546"/>
      <c r="L3" s="547"/>
      <c r="M3" s="547"/>
      <c r="N3" s="547"/>
      <c r="O3" s="546"/>
      <c r="P3" s="546"/>
      <c r="Q3" s="548"/>
    </row>
    <row r="4" spans="1:17" ht="31.5" customHeight="1" x14ac:dyDescent="0.3">
      <c r="A4" s="549" t="s">
        <v>540</v>
      </c>
      <c r="B4" s="551" t="s">
        <v>541</v>
      </c>
      <c r="C4" s="552"/>
      <c r="D4" s="555" t="s">
        <v>13</v>
      </c>
      <c r="E4" s="555" t="s">
        <v>542</v>
      </c>
      <c r="F4" s="556" t="s">
        <v>543</v>
      </c>
      <c r="G4" s="555" t="s">
        <v>544</v>
      </c>
      <c r="H4" s="558" t="s">
        <v>545</v>
      </c>
      <c r="I4" s="531" t="s">
        <v>546</v>
      </c>
      <c r="J4" s="532"/>
      <c r="K4" s="560"/>
      <c r="L4" s="531" t="s">
        <v>547</v>
      </c>
      <c r="M4" s="532"/>
      <c r="N4" s="533"/>
      <c r="O4" s="534" t="s">
        <v>548</v>
      </c>
      <c r="P4" s="535"/>
      <c r="Q4" s="536"/>
    </row>
    <row r="5" spans="1:17" s="240" customFormat="1" ht="73.5" customHeight="1" x14ac:dyDescent="0.2">
      <c r="A5" s="550"/>
      <c r="B5" s="553"/>
      <c r="C5" s="554"/>
      <c r="D5" s="535"/>
      <c r="E5" s="535"/>
      <c r="F5" s="557"/>
      <c r="G5" s="535"/>
      <c r="H5" s="559"/>
      <c r="I5" s="236" t="s">
        <v>549</v>
      </c>
      <c r="J5" s="237" t="s">
        <v>494</v>
      </c>
      <c r="K5" s="360" t="s">
        <v>495</v>
      </c>
      <c r="L5" s="236" t="s">
        <v>549</v>
      </c>
      <c r="M5" s="237" t="s">
        <v>494</v>
      </c>
      <c r="N5" s="238" t="s">
        <v>495</v>
      </c>
      <c r="O5" s="239" t="s">
        <v>549</v>
      </c>
      <c r="P5" s="237" t="s">
        <v>494</v>
      </c>
      <c r="Q5" s="238" t="s">
        <v>495</v>
      </c>
    </row>
    <row r="6" spans="1:17" s="147" customFormat="1" ht="126" x14ac:dyDescent="0.3">
      <c r="A6" s="524" t="s">
        <v>550</v>
      </c>
      <c r="B6" s="537">
        <v>1</v>
      </c>
      <c r="C6" s="538" t="s">
        <v>551</v>
      </c>
      <c r="D6" s="148" t="s">
        <v>552</v>
      </c>
      <c r="E6" s="148" t="s">
        <v>553</v>
      </c>
      <c r="F6" s="148" t="s">
        <v>554</v>
      </c>
      <c r="G6" s="149" t="s">
        <v>555</v>
      </c>
      <c r="H6" s="150">
        <v>43524</v>
      </c>
      <c r="I6" s="140">
        <v>1</v>
      </c>
      <c r="J6" s="232" t="s">
        <v>556</v>
      </c>
      <c r="K6" s="361" t="s">
        <v>557</v>
      </c>
      <c r="L6" s="140" t="s">
        <v>989</v>
      </c>
      <c r="M6" s="232"/>
      <c r="N6" s="241"/>
      <c r="O6" s="143"/>
      <c r="P6" s="141"/>
      <c r="Q6" s="142"/>
    </row>
    <row r="7" spans="1:17" s="147" customFormat="1" ht="90" x14ac:dyDescent="0.3">
      <c r="A7" s="524"/>
      <c r="B7" s="537"/>
      <c r="C7" s="538"/>
      <c r="D7" s="148" t="s">
        <v>558</v>
      </c>
      <c r="E7" s="148" t="s">
        <v>559</v>
      </c>
      <c r="F7" s="148" t="s">
        <v>554</v>
      </c>
      <c r="G7" s="149" t="s">
        <v>560</v>
      </c>
      <c r="H7" s="150">
        <v>43524</v>
      </c>
      <c r="I7" s="144">
        <v>83.7</v>
      </c>
      <c r="J7" s="232" t="s">
        <v>556</v>
      </c>
      <c r="K7" s="361" t="s">
        <v>557</v>
      </c>
      <c r="L7" s="144" t="s">
        <v>989</v>
      </c>
      <c r="M7" s="232"/>
      <c r="N7" s="241"/>
      <c r="O7" s="143"/>
      <c r="P7" s="141"/>
      <c r="Q7" s="142"/>
    </row>
    <row r="8" spans="1:17" s="147" customFormat="1" ht="162" x14ac:dyDescent="0.3">
      <c r="A8" s="524"/>
      <c r="B8" s="151">
        <v>2</v>
      </c>
      <c r="C8" s="152" t="s">
        <v>561</v>
      </c>
      <c r="D8" s="148" t="s">
        <v>562</v>
      </c>
      <c r="E8" s="148" t="s">
        <v>563</v>
      </c>
      <c r="F8" s="148" t="s">
        <v>564</v>
      </c>
      <c r="G8" s="149" t="s">
        <v>565</v>
      </c>
      <c r="H8" s="150">
        <v>43585</v>
      </c>
      <c r="I8" s="140">
        <v>0</v>
      </c>
      <c r="J8" s="232" t="s">
        <v>655</v>
      </c>
      <c r="K8" s="362"/>
      <c r="L8" s="140">
        <v>0</v>
      </c>
      <c r="M8" s="232" t="s">
        <v>990</v>
      </c>
      <c r="N8" s="241" t="s">
        <v>991</v>
      </c>
      <c r="O8" s="143"/>
      <c r="P8" s="141"/>
      <c r="Q8" s="142"/>
    </row>
    <row r="9" spans="1:17" s="147" customFormat="1" ht="198" x14ac:dyDescent="0.3">
      <c r="A9" s="524" t="s">
        <v>566</v>
      </c>
      <c r="B9" s="153">
        <v>3</v>
      </c>
      <c r="C9" s="152" t="s">
        <v>567</v>
      </c>
      <c r="D9" s="148" t="s">
        <v>568</v>
      </c>
      <c r="E9" s="148" t="s">
        <v>569</v>
      </c>
      <c r="F9" s="148" t="s">
        <v>570</v>
      </c>
      <c r="G9" s="154" t="s">
        <v>571</v>
      </c>
      <c r="H9" s="155" t="s">
        <v>572</v>
      </c>
      <c r="I9" s="145">
        <v>1</v>
      </c>
      <c r="J9" s="232" t="s">
        <v>656</v>
      </c>
      <c r="K9" s="361" t="s">
        <v>657</v>
      </c>
      <c r="L9" s="145">
        <v>1</v>
      </c>
      <c r="M9" s="322" t="s">
        <v>992</v>
      </c>
      <c r="N9" s="323" t="s">
        <v>993</v>
      </c>
      <c r="O9" s="143"/>
      <c r="P9" s="141"/>
      <c r="Q9" s="142"/>
    </row>
    <row r="10" spans="1:17" s="147" customFormat="1" ht="180" x14ac:dyDescent="0.3">
      <c r="A10" s="524"/>
      <c r="B10" s="153">
        <v>4</v>
      </c>
      <c r="C10" s="152" t="s">
        <v>573</v>
      </c>
      <c r="D10" s="148" t="s">
        <v>574</v>
      </c>
      <c r="E10" s="148" t="s">
        <v>574</v>
      </c>
      <c r="F10" s="148" t="s">
        <v>575</v>
      </c>
      <c r="G10" s="154" t="s">
        <v>576</v>
      </c>
      <c r="H10" s="155">
        <v>43830</v>
      </c>
      <c r="I10" s="156"/>
      <c r="J10" s="154" t="s">
        <v>658</v>
      </c>
      <c r="K10" s="363"/>
      <c r="L10" s="324">
        <v>1</v>
      </c>
      <c r="M10" s="160" t="s">
        <v>994</v>
      </c>
      <c r="N10" s="242" t="s">
        <v>995</v>
      </c>
      <c r="O10" s="159"/>
      <c r="P10" s="157"/>
      <c r="Q10" s="158"/>
    </row>
    <row r="11" spans="1:17" s="147" customFormat="1" ht="270" x14ac:dyDescent="0.3">
      <c r="A11" s="524"/>
      <c r="B11" s="153">
        <v>5</v>
      </c>
      <c r="C11" s="152" t="s">
        <v>577</v>
      </c>
      <c r="D11" s="160" t="s">
        <v>578</v>
      </c>
      <c r="E11" s="148" t="s">
        <v>579</v>
      </c>
      <c r="F11" s="148" t="s">
        <v>580</v>
      </c>
      <c r="G11" s="149" t="s">
        <v>581</v>
      </c>
      <c r="H11" s="161" t="s">
        <v>582</v>
      </c>
      <c r="I11" s="156"/>
      <c r="J11" s="154" t="s">
        <v>658</v>
      </c>
      <c r="K11" s="363"/>
      <c r="L11" s="325">
        <v>1</v>
      </c>
      <c r="M11" s="319" t="s">
        <v>996</v>
      </c>
      <c r="N11" s="242" t="s">
        <v>997</v>
      </c>
      <c r="O11" s="159"/>
      <c r="P11" s="157"/>
      <c r="Q11" s="158"/>
    </row>
    <row r="12" spans="1:17" s="147" customFormat="1" ht="272.25" customHeight="1" x14ac:dyDescent="0.3">
      <c r="A12" s="524"/>
      <c r="B12" s="151">
        <v>6</v>
      </c>
      <c r="C12" s="162" t="s">
        <v>583</v>
      </c>
      <c r="D12" s="148" t="s">
        <v>584</v>
      </c>
      <c r="E12" s="148" t="s">
        <v>585</v>
      </c>
      <c r="F12" s="160" t="s">
        <v>586</v>
      </c>
      <c r="G12" s="154" t="s">
        <v>587</v>
      </c>
      <c r="H12" s="155" t="s">
        <v>588</v>
      </c>
      <c r="I12" s="156"/>
      <c r="J12" s="154" t="s">
        <v>658</v>
      </c>
      <c r="K12" s="363"/>
      <c r="L12" s="324">
        <v>1</v>
      </c>
      <c r="M12" s="319" t="s">
        <v>998</v>
      </c>
      <c r="N12" s="326" t="s">
        <v>999</v>
      </c>
      <c r="O12" s="159"/>
      <c r="P12" s="157"/>
      <c r="Q12" s="158"/>
    </row>
    <row r="13" spans="1:17" s="147" customFormat="1" ht="172.5" x14ac:dyDescent="0.3">
      <c r="A13" s="524"/>
      <c r="B13" s="163">
        <v>7</v>
      </c>
      <c r="C13" s="164" t="s">
        <v>589</v>
      </c>
      <c r="D13" s="160" t="s">
        <v>590</v>
      </c>
      <c r="E13" s="165" t="s">
        <v>591</v>
      </c>
      <c r="F13" s="148" t="s">
        <v>15</v>
      </c>
      <c r="G13" s="154" t="s">
        <v>592</v>
      </c>
      <c r="H13" s="161" t="s">
        <v>593</v>
      </c>
      <c r="I13" s="209">
        <v>300</v>
      </c>
      <c r="J13" s="149" t="s">
        <v>659</v>
      </c>
      <c r="K13" s="364" t="s">
        <v>660</v>
      </c>
      <c r="L13" s="327">
        <v>1095</v>
      </c>
      <c r="M13" s="328" t="s">
        <v>1000</v>
      </c>
      <c r="N13" s="329" t="s">
        <v>1001</v>
      </c>
      <c r="O13" s="159"/>
      <c r="P13" s="157"/>
      <c r="Q13" s="158"/>
    </row>
    <row r="14" spans="1:17" s="147" customFormat="1" ht="130.5" thickBot="1" x14ac:dyDescent="0.35">
      <c r="A14" s="528"/>
      <c r="B14" s="166">
        <v>8</v>
      </c>
      <c r="C14" s="167" t="s">
        <v>594</v>
      </c>
      <c r="D14" s="168" t="s">
        <v>595</v>
      </c>
      <c r="E14" s="169" t="s">
        <v>596</v>
      </c>
      <c r="F14" s="169" t="s">
        <v>597</v>
      </c>
      <c r="G14" s="170" t="s">
        <v>598</v>
      </c>
      <c r="H14" s="171" t="s">
        <v>599</v>
      </c>
      <c r="I14" s="156"/>
      <c r="J14" s="154" t="s">
        <v>658</v>
      </c>
      <c r="K14" s="363"/>
      <c r="L14" s="327">
        <v>1</v>
      </c>
      <c r="M14" s="368" t="s">
        <v>1002</v>
      </c>
      <c r="N14" s="329" t="s">
        <v>1003</v>
      </c>
      <c r="O14" s="159"/>
      <c r="P14" s="157"/>
      <c r="Q14" s="158"/>
    </row>
    <row r="15" spans="1:17" ht="204.75" customHeight="1" x14ac:dyDescent="0.3">
      <c r="A15" s="523" t="s">
        <v>600</v>
      </c>
      <c r="B15" s="172">
        <v>9</v>
      </c>
      <c r="C15" s="173" t="s">
        <v>601</v>
      </c>
      <c r="D15" s="174" t="s">
        <v>602</v>
      </c>
      <c r="E15" s="175" t="s">
        <v>603</v>
      </c>
      <c r="F15" s="176" t="s">
        <v>646</v>
      </c>
      <c r="G15" s="176" t="s">
        <v>604</v>
      </c>
      <c r="H15" s="177">
        <v>43830</v>
      </c>
      <c r="I15" s="178"/>
      <c r="J15" s="154" t="s">
        <v>658</v>
      </c>
      <c r="K15" s="365"/>
      <c r="L15" s="330">
        <f>(9/ 9)</f>
        <v>1</v>
      </c>
      <c r="M15" s="331" t="s">
        <v>1004</v>
      </c>
      <c r="N15" s="359" t="s">
        <v>1028</v>
      </c>
      <c r="O15" s="181"/>
      <c r="P15" s="179"/>
      <c r="Q15" s="180"/>
    </row>
    <row r="16" spans="1:17" ht="408.75" customHeight="1" x14ac:dyDescent="0.3">
      <c r="A16" s="524"/>
      <c r="B16" s="153">
        <v>10</v>
      </c>
      <c r="C16" s="182" t="s">
        <v>605</v>
      </c>
      <c r="D16" s="160" t="s">
        <v>606</v>
      </c>
      <c r="E16" s="165" t="s">
        <v>607</v>
      </c>
      <c r="F16" s="160" t="s">
        <v>608</v>
      </c>
      <c r="G16" s="148" t="s">
        <v>609</v>
      </c>
      <c r="H16" s="150">
        <v>43830</v>
      </c>
      <c r="I16" s="178"/>
      <c r="J16" s="154" t="s">
        <v>658</v>
      </c>
      <c r="K16" s="365"/>
      <c r="L16" s="327">
        <v>2</v>
      </c>
      <c r="M16" s="331" t="s">
        <v>1045</v>
      </c>
      <c r="N16" s="334" t="s">
        <v>1005</v>
      </c>
      <c r="O16" s="181"/>
      <c r="P16" s="179"/>
      <c r="Q16" s="180"/>
    </row>
    <row r="17" spans="1:17" ht="118.5" customHeight="1" x14ac:dyDescent="0.3">
      <c r="A17" s="524"/>
      <c r="B17" s="151">
        <v>11</v>
      </c>
      <c r="C17" s="182" t="s">
        <v>594</v>
      </c>
      <c r="D17" s="160" t="s">
        <v>595</v>
      </c>
      <c r="E17" s="148" t="s">
        <v>596</v>
      </c>
      <c r="F17" s="148" t="s">
        <v>597</v>
      </c>
      <c r="G17" s="160" t="s">
        <v>598</v>
      </c>
      <c r="H17" s="161" t="s">
        <v>599</v>
      </c>
      <c r="I17" s="178"/>
      <c r="J17" s="154" t="s">
        <v>658</v>
      </c>
      <c r="K17" s="365"/>
      <c r="L17" s="327">
        <v>1</v>
      </c>
      <c r="M17" s="368" t="s">
        <v>1002</v>
      </c>
      <c r="N17" s="329" t="s">
        <v>1003</v>
      </c>
      <c r="O17" s="181"/>
      <c r="P17" s="179"/>
      <c r="Q17" s="180"/>
    </row>
    <row r="18" spans="1:17" ht="285.75" customHeight="1" thickBot="1" x14ac:dyDescent="0.35">
      <c r="A18" s="525"/>
      <c r="B18" s="183">
        <v>12</v>
      </c>
      <c r="C18" s="184" t="s">
        <v>610</v>
      </c>
      <c r="D18" s="185" t="s">
        <v>611</v>
      </c>
      <c r="E18" s="186" t="s">
        <v>612</v>
      </c>
      <c r="F18" s="186" t="s">
        <v>613</v>
      </c>
      <c r="G18" s="185" t="s">
        <v>614</v>
      </c>
      <c r="H18" s="187">
        <v>43517</v>
      </c>
      <c r="I18" s="210">
        <v>1</v>
      </c>
      <c r="J18" s="233" t="s">
        <v>661</v>
      </c>
      <c r="K18" s="366" t="s">
        <v>662</v>
      </c>
      <c r="L18" s="210">
        <f>631/631</f>
        <v>1</v>
      </c>
      <c r="M18" s="233" t="s">
        <v>1006</v>
      </c>
      <c r="N18" s="333" t="s">
        <v>1007</v>
      </c>
      <c r="O18" s="181"/>
      <c r="P18" s="179"/>
      <c r="Q18" s="180"/>
    </row>
    <row r="19" spans="1:17" ht="181.5" customHeight="1" x14ac:dyDescent="0.3">
      <c r="A19" s="526"/>
      <c r="B19" s="188">
        <v>13</v>
      </c>
      <c r="C19" s="189" t="s">
        <v>615</v>
      </c>
      <c r="D19" s="190" t="s">
        <v>616</v>
      </c>
      <c r="E19" s="191" t="s">
        <v>617</v>
      </c>
      <c r="F19" s="191" t="s">
        <v>618</v>
      </c>
      <c r="G19" s="192" t="s">
        <v>619</v>
      </c>
      <c r="H19" s="193">
        <v>43861</v>
      </c>
      <c r="I19" s="178"/>
      <c r="J19" s="154" t="s">
        <v>658</v>
      </c>
      <c r="K19" s="365"/>
      <c r="L19" s="178"/>
      <c r="M19" s="160" t="s">
        <v>658</v>
      </c>
      <c r="N19" s="243"/>
      <c r="O19" s="181"/>
      <c r="P19" s="179"/>
      <c r="Q19" s="180"/>
    </row>
    <row r="20" spans="1:17" ht="332.25" customHeight="1" x14ac:dyDescent="0.3">
      <c r="A20" s="527"/>
      <c r="B20" s="194">
        <v>14</v>
      </c>
      <c r="C20" s="152" t="s">
        <v>620</v>
      </c>
      <c r="D20" s="160" t="s">
        <v>621</v>
      </c>
      <c r="E20" s="148" t="s">
        <v>622</v>
      </c>
      <c r="F20" s="148" t="s">
        <v>623</v>
      </c>
      <c r="G20" s="149" t="s">
        <v>624</v>
      </c>
      <c r="H20" s="195">
        <v>43830</v>
      </c>
      <c r="I20" s="178"/>
      <c r="J20" s="154" t="s">
        <v>658</v>
      </c>
      <c r="K20" s="365"/>
      <c r="L20" s="330">
        <f>1/1</f>
        <v>1</v>
      </c>
      <c r="M20" s="369" t="s">
        <v>1008</v>
      </c>
      <c r="N20" s="334" t="s">
        <v>1005</v>
      </c>
      <c r="O20" s="181"/>
      <c r="P20" s="179"/>
      <c r="Q20" s="180"/>
    </row>
    <row r="21" spans="1:17" ht="261" customHeight="1" x14ac:dyDescent="0.3">
      <c r="A21" s="527"/>
      <c r="B21" s="194">
        <v>15</v>
      </c>
      <c r="C21" s="152" t="s">
        <v>625</v>
      </c>
      <c r="D21" s="160" t="s">
        <v>626</v>
      </c>
      <c r="E21" s="160" t="s">
        <v>627</v>
      </c>
      <c r="F21" s="160" t="s">
        <v>628</v>
      </c>
      <c r="G21" s="154" t="s">
        <v>629</v>
      </c>
      <c r="H21" s="155" t="s">
        <v>630</v>
      </c>
      <c r="I21" s="178"/>
      <c r="J21" s="154" t="s">
        <v>658</v>
      </c>
      <c r="K21" s="365"/>
      <c r="L21" s="335">
        <f>8/8</f>
        <v>1</v>
      </c>
      <c r="M21" s="370" t="s">
        <v>1009</v>
      </c>
      <c r="N21" s="332"/>
      <c r="O21" s="181"/>
      <c r="P21" s="179"/>
      <c r="Q21" s="180"/>
    </row>
    <row r="22" spans="1:17" ht="409.5" customHeight="1" x14ac:dyDescent="0.3">
      <c r="A22" s="528" t="s">
        <v>631</v>
      </c>
      <c r="B22" s="194">
        <v>16</v>
      </c>
      <c r="C22" s="152" t="s">
        <v>632</v>
      </c>
      <c r="D22" s="160" t="s">
        <v>633</v>
      </c>
      <c r="E22" s="160" t="s">
        <v>634</v>
      </c>
      <c r="F22" s="165" t="s">
        <v>635</v>
      </c>
      <c r="G22" s="154" t="s">
        <v>636</v>
      </c>
      <c r="H22" s="155" t="s">
        <v>599</v>
      </c>
      <c r="I22" s="178"/>
      <c r="J22" s="154" t="s">
        <v>658</v>
      </c>
      <c r="K22" s="365"/>
      <c r="L22" s="336">
        <v>1</v>
      </c>
      <c r="M22" s="160" t="s">
        <v>1010</v>
      </c>
      <c r="N22" s="337" t="s">
        <v>1011</v>
      </c>
      <c r="O22" s="181"/>
      <c r="P22" s="179"/>
      <c r="Q22" s="180"/>
    </row>
    <row r="23" spans="1:17" ht="135" customHeight="1" x14ac:dyDescent="0.3">
      <c r="A23" s="529"/>
      <c r="B23" s="196">
        <v>17</v>
      </c>
      <c r="C23" s="152" t="s">
        <v>637</v>
      </c>
      <c r="D23" s="160" t="s">
        <v>638</v>
      </c>
      <c r="E23" s="148" t="s">
        <v>639</v>
      </c>
      <c r="F23" s="160" t="s">
        <v>640</v>
      </c>
      <c r="G23" s="154" t="s">
        <v>641</v>
      </c>
      <c r="H23" s="195">
        <v>43830</v>
      </c>
      <c r="I23" s="178"/>
      <c r="J23" s="154" t="s">
        <v>658</v>
      </c>
      <c r="K23" s="365"/>
      <c r="L23" s="178"/>
      <c r="M23" s="160" t="s">
        <v>658</v>
      </c>
      <c r="N23" s="243"/>
      <c r="O23" s="181"/>
      <c r="P23" s="179"/>
      <c r="Q23" s="180"/>
    </row>
    <row r="24" spans="1:17" ht="160.5" customHeight="1" thickBot="1" x14ac:dyDescent="0.35">
      <c r="A24" s="530"/>
      <c r="B24" s="197">
        <v>18</v>
      </c>
      <c r="C24" s="198" t="s">
        <v>642</v>
      </c>
      <c r="D24" s="185" t="s">
        <v>643</v>
      </c>
      <c r="E24" s="186" t="s">
        <v>115</v>
      </c>
      <c r="F24" s="185" t="s">
        <v>644</v>
      </c>
      <c r="G24" s="199" t="s">
        <v>645</v>
      </c>
      <c r="H24" s="200">
        <v>43830</v>
      </c>
      <c r="I24" s="201"/>
      <c r="J24" s="199" t="s">
        <v>658</v>
      </c>
      <c r="K24" s="367"/>
      <c r="L24" s="201"/>
      <c r="M24" s="185" t="s">
        <v>658</v>
      </c>
      <c r="N24" s="244"/>
      <c r="O24" s="204"/>
      <c r="P24" s="202"/>
      <c r="Q24" s="203"/>
    </row>
  </sheetData>
  <mergeCells count="19">
    <mergeCell ref="A1:Q2"/>
    <mergeCell ref="A3:Q3"/>
    <mergeCell ref="A4:A5"/>
    <mergeCell ref="B4:C5"/>
    <mergeCell ref="D4:D5"/>
    <mergeCell ref="E4:E5"/>
    <mergeCell ref="F4:F5"/>
    <mergeCell ref="G4:G5"/>
    <mergeCell ref="H4:H5"/>
    <mergeCell ref="I4:K4"/>
    <mergeCell ref="A15:A18"/>
    <mergeCell ref="A19:A21"/>
    <mergeCell ref="A22:A24"/>
    <mergeCell ref="L4:N4"/>
    <mergeCell ref="O4:Q4"/>
    <mergeCell ref="A6:A8"/>
    <mergeCell ref="B6:B7"/>
    <mergeCell ref="C6:C7"/>
    <mergeCell ref="A9:A14"/>
  </mergeCells>
  <hyperlinks>
    <hyperlink ref="N9" r:id="rId1"/>
    <hyperlink ref="N12" r:id="rId2" display="http://concejodebogota.gov.co/cbogota/site/artic/20190809/asocfile/20190809142020/inf_seguimiento_audiencia_publica_1er_semestre_2019.docx"/>
  </hyperlinks>
  <pageMargins left="0.70866141732283472" right="0.70866141732283472" top="0.74803149606299213" bottom="0.74803149606299213" header="0.31496062992125984" footer="0.31496062992125984"/>
  <pageSetup paperSize="256" scale="46" fitToHeight="0" orientation="landscape"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4"/>
  <sheetViews>
    <sheetView view="pageBreakPreview" zoomScale="90" zoomScaleNormal="70" zoomScaleSheetLayoutView="90" workbookViewId="0">
      <pane xSplit="1" ySplit="9" topLeftCell="I42" activePane="bottomRight" state="frozen"/>
      <selection pane="topRight" activeCell="B1" sqref="B1"/>
      <selection pane="bottomLeft" activeCell="A10" sqref="A10"/>
      <selection pane="bottomRight" activeCell="I43" sqref="I43"/>
    </sheetView>
  </sheetViews>
  <sheetFormatPr baseColWidth="10" defaultRowHeight="11.25" x14ac:dyDescent="0.2"/>
  <cols>
    <col min="1" max="1" width="12.7109375" style="26" customWidth="1"/>
    <col min="2" max="2" width="25.7109375" style="26" customWidth="1"/>
    <col min="3" max="3" width="13.7109375" style="26" customWidth="1"/>
    <col min="4" max="4" width="25.7109375" style="26" customWidth="1"/>
    <col min="5" max="5" width="5" style="26" customWidth="1"/>
    <col min="6" max="7" width="25.7109375" style="26" customWidth="1"/>
    <col min="8" max="10" width="10.7109375" style="26" customWidth="1"/>
    <col min="11" max="11" width="25.7109375" style="26" customWidth="1"/>
    <col min="12" max="12" width="9.7109375" style="26" customWidth="1"/>
    <col min="13" max="13" width="3.7109375" style="26" customWidth="1"/>
    <col min="14" max="17" width="10.7109375" style="26" customWidth="1"/>
    <col min="18" max="18" width="25.7109375" style="26" customWidth="1"/>
    <col min="19" max="19" width="20.7109375" style="26" customWidth="1"/>
    <col min="20" max="20" width="10.7109375" style="28" customWidth="1"/>
    <col min="21" max="21" width="25.7109375" style="26" customWidth="1"/>
    <col min="22" max="23" width="20.7109375" style="26" customWidth="1"/>
    <col min="24" max="24" width="9.7109375" style="26" customWidth="1"/>
    <col min="25" max="16384" width="11.42578125" style="26"/>
  </cols>
  <sheetData>
    <row r="1" spans="1:24" ht="24" customHeight="1" x14ac:dyDescent="0.2">
      <c r="A1" s="649"/>
      <c r="B1" s="650"/>
      <c r="C1" s="651"/>
      <c r="D1" s="658" t="s">
        <v>28</v>
      </c>
      <c r="E1" s="659"/>
      <c r="F1" s="659"/>
      <c r="G1" s="659"/>
      <c r="H1" s="659"/>
      <c r="I1" s="659"/>
      <c r="J1" s="659"/>
      <c r="K1" s="659"/>
      <c r="L1" s="659"/>
      <c r="M1" s="659"/>
      <c r="N1" s="659"/>
      <c r="O1" s="659"/>
      <c r="P1" s="659"/>
      <c r="Q1" s="659"/>
      <c r="R1" s="659"/>
      <c r="S1" s="659"/>
      <c r="T1" s="659"/>
      <c r="U1" s="660"/>
      <c r="V1" s="661" t="s">
        <v>29</v>
      </c>
      <c r="W1" s="661"/>
      <c r="X1" s="662"/>
    </row>
    <row r="2" spans="1:24" ht="24" customHeight="1" x14ac:dyDescent="0.2">
      <c r="A2" s="652"/>
      <c r="B2" s="653"/>
      <c r="C2" s="654"/>
      <c r="D2" s="663" t="s">
        <v>493</v>
      </c>
      <c r="E2" s="664"/>
      <c r="F2" s="664"/>
      <c r="G2" s="664"/>
      <c r="H2" s="664"/>
      <c r="I2" s="664"/>
      <c r="J2" s="664"/>
      <c r="K2" s="664"/>
      <c r="L2" s="664"/>
      <c r="M2" s="664"/>
      <c r="N2" s="664"/>
      <c r="O2" s="664"/>
      <c r="P2" s="664"/>
      <c r="Q2" s="664"/>
      <c r="R2" s="664"/>
      <c r="S2" s="664"/>
      <c r="T2" s="664"/>
      <c r="U2" s="665"/>
      <c r="V2" s="669" t="s">
        <v>30</v>
      </c>
      <c r="W2" s="669"/>
      <c r="X2" s="662"/>
    </row>
    <row r="3" spans="1:24" ht="24" customHeight="1" x14ac:dyDescent="0.2">
      <c r="A3" s="655"/>
      <c r="B3" s="656"/>
      <c r="C3" s="657"/>
      <c r="D3" s="666"/>
      <c r="E3" s="667"/>
      <c r="F3" s="667"/>
      <c r="G3" s="667"/>
      <c r="H3" s="667"/>
      <c r="I3" s="667"/>
      <c r="J3" s="667"/>
      <c r="K3" s="667"/>
      <c r="L3" s="667"/>
      <c r="M3" s="667"/>
      <c r="N3" s="667"/>
      <c r="O3" s="667"/>
      <c r="P3" s="667"/>
      <c r="Q3" s="667"/>
      <c r="R3" s="667"/>
      <c r="S3" s="667"/>
      <c r="T3" s="667"/>
      <c r="U3" s="668"/>
      <c r="V3" s="669" t="s">
        <v>31</v>
      </c>
      <c r="W3" s="669"/>
      <c r="X3" s="662"/>
    </row>
    <row r="4" spans="1:24" ht="5.0999999999999996" customHeight="1" x14ac:dyDescent="0.2"/>
    <row r="5" spans="1:24" ht="23.1" customHeight="1" x14ac:dyDescent="0.2">
      <c r="A5" s="627" t="s">
        <v>32</v>
      </c>
      <c r="B5" s="628"/>
      <c r="C5" s="628"/>
      <c r="D5" s="628"/>
      <c r="E5" s="628"/>
      <c r="F5" s="628"/>
      <c r="G5" s="628"/>
      <c r="H5" s="628"/>
      <c r="I5" s="628"/>
      <c r="J5" s="628"/>
      <c r="K5" s="628"/>
      <c r="L5" s="628"/>
      <c r="M5" s="628"/>
      <c r="N5" s="628"/>
      <c r="O5" s="628"/>
      <c r="P5" s="628"/>
      <c r="Q5" s="628"/>
      <c r="R5" s="628"/>
      <c r="S5" s="628"/>
      <c r="T5" s="628"/>
      <c r="U5" s="628"/>
      <c r="V5" s="628"/>
      <c r="W5" s="628"/>
      <c r="X5" s="629"/>
    </row>
    <row r="6" spans="1:24" ht="12" customHeight="1" x14ac:dyDescent="0.2">
      <c r="A6" s="630" t="s">
        <v>33</v>
      </c>
      <c r="B6" s="631"/>
      <c r="C6" s="631"/>
      <c r="D6" s="631"/>
      <c r="E6" s="631"/>
      <c r="F6" s="631"/>
      <c r="G6" s="632"/>
      <c r="H6" s="636" t="s">
        <v>34</v>
      </c>
      <c r="I6" s="637"/>
      <c r="J6" s="637"/>
      <c r="K6" s="637"/>
      <c r="L6" s="637"/>
      <c r="M6" s="637"/>
      <c r="N6" s="637"/>
      <c r="O6" s="637"/>
      <c r="P6" s="637"/>
      <c r="Q6" s="637"/>
      <c r="R6" s="637"/>
      <c r="S6" s="638"/>
      <c r="T6" s="639" t="s">
        <v>35</v>
      </c>
      <c r="U6" s="640"/>
      <c r="V6" s="640"/>
      <c r="W6" s="640"/>
      <c r="X6" s="641"/>
    </row>
    <row r="7" spans="1:24" ht="15" x14ac:dyDescent="0.25">
      <c r="A7" s="633"/>
      <c r="B7" s="634"/>
      <c r="C7" s="634"/>
      <c r="D7" s="634"/>
      <c r="E7" s="634"/>
      <c r="F7" s="634"/>
      <c r="G7" s="635"/>
      <c r="H7" s="624" t="s">
        <v>36</v>
      </c>
      <c r="I7" s="625"/>
      <c r="J7" s="626"/>
      <c r="K7" s="645" t="s">
        <v>37</v>
      </c>
      <c r="L7" s="646"/>
      <c r="M7" s="646"/>
      <c r="N7" s="647"/>
      <c r="O7" s="647"/>
      <c r="P7" s="647"/>
      <c r="Q7" s="647"/>
      <c r="R7" s="647"/>
      <c r="S7" s="648"/>
      <c r="T7" s="642"/>
      <c r="U7" s="643"/>
      <c r="V7" s="643"/>
      <c r="W7" s="643"/>
      <c r="X7" s="644"/>
    </row>
    <row r="8" spans="1:24" ht="19.5" customHeight="1" x14ac:dyDescent="0.2">
      <c r="A8" s="616" t="s">
        <v>38</v>
      </c>
      <c r="B8" s="618" t="s">
        <v>39</v>
      </c>
      <c r="C8" s="616" t="s">
        <v>40</v>
      </c>
      <c r="D8" s="620" t="s">
        <v>41</v>
      </c>
      <c r="E8" s="621"/>
      <c r="F8" s="622"/>
      <c r="G8" s="623" t="s">
        <v>42</v>
      </c>
      <c r="H8" s="624" t="s">
        <v>43</v>
      </c>
      <c r="I8" s="625"/>
      <c r="J8" s="626"/>
      <c r="K8" s="614" t="s">
        <v>44</v>
      </c>
      <c r="L8" s="614" t="s">
        <v>45</v>
      </c>
      <c r="M8" s="605" t="s">
        <v>46</v>
      </c>
      <c r="N8" s="607" t="s">
        <v>47</v>
      </c>
      <c r="O8" s="608"/>
      <c r="P8" s="609"/>
      <c r="Q8" s="610" t="s">
        <v>48</v>
      </c>
      <c r="R8" s="611"/>
      <c r="S8" s="612"/>
      <c r="T8" s="613" t="s">
        <v>49</v>
      </c>
      <c r="U8" s="603" t="s">
        <v>50</v>
      </c>
      <c r="V8" s="603" t="s">
        <v>5</v>
      </c>
      <c r="W8" s="570" t="s">
        <v>513</v>
      </c>
      <c r="X8" s="604" t="s">
        <v>518</v>
      </c>
    </row>
    <row r="9" spans="1:24" ht="62.25" customHeight="1" x14ac:dyDescent="0.2">
      <c r="A9" s="617"/>
      <c r="B9" s="619"/>
      <c r="C9" s="617"/>
      <c r="D9" s="29" t="s">
        <v>51</v>
      </c>
      <c r="E9" s="29" t="s">
        <v>52</v>
      </c>
      <c r="F9" s="30" t="s">
        <v>53</v>
      </c>
      <c r="G9" s="623"/>
      <c r="H9" s="31" t="s">
        <v>54</v>
      </c>
      <c r="I9" s="31" t="s">
        <v>55</v>
      </c>
      <c r="J9" s="32" t="s">
        <v>56</v>
      </c>
      <c r="K9" s="615"/>
      <c r="L9" s="615"/>
      <c r="M9" s="606"/>
      <c r="N9" s="31" t="s">
        <v>54</v>
      </c>
      <c r="O9" s="31" t="s">
        <v>55</v>
      </c>
      <c r="P9" s="32" t="s">
        <v>57</v>
      </c>
      <c r="Q9" s="32" t="s">
        <v>58</v>
      </c>
      <c r="R9" s="31" t="s">
        <v>50</v>
      </c>
      <c r="S9" s="31" t="s">
        <v>59</v>
      </c>
      <c r="T9" s="603"/>
      <c r="U9" s="603"/>
      <c r="V9" s="603"/>
      <c r="W9" s="571"/>
      <c r="X9" s="604"/>
    </row>
    <row r="10" spans="1:24" ht="90" x14ac:dyDescent="0.2">
      <c r="A10" s="589" t="s">
        <v>3</v>
      </c>
      <c r="B10" s="33" t="s">
        <v>60</v>
      </c>
      <c r="C10" s="589" t="s">
        <v>61</v>
      </c>
      <c r="D10" s="34" t="s">
        <v>62</v>
      </c>
      <c r="E10" s="35">
        <v>1</v>
      </c>
      <c r="F10" s="36" t="s">
        <v>63</v>
      </c>
      <c r="G10" s="36" t="s">
        <v>64</v>
      </c>
      <c r="H10" s="37">
        <v>2</v>
      </c>
      <c r="I10" s="38">
        <f>[13]Impacto!$C$25</f>
        <v>20</v>
      </c>
      <c r="J10" s="39">
        <f>I10*H10</f>
        <v>40</v>
      </c>
      <c r="K10" s="40" t="s">
        <v>65</v>
      </c>
      <c r="L10" s="41" t="str">
        <f>IF([13]Control!B4="x","Preventivo",IF([13]Control!C4="x","Detectivo",IF([13]Control!D4="x","Correctivo","Error")))</f>
        <v>Correctivo</v>
      </c>
      <c r="M10" s="42">
        <f>IF(L10="Preventivo",VLOOKUP([13]Control!H4,'[13]Medicion Riesgo'!$A$59:$C$81,2),0)</f>
        <v>0</v>
      </c>
      <c r="N10" s="42">
        <f>IF(H10-M10&lt;1,1,H10-M10)</f>
        <v>2</v>
      </c>
      <c r="O10" s="42">
        <f>I10</f>
        <v>20</v>
      </c>
      <c r="P10" s="43">
        <f>O10*N10</f>
        <v>40</v>
      </c>
      <c r="Q10" s="44" t="s">
        <v>66</v>
      </c>
      <c r="R10" s="44" t="s">
        <v>67</v>
      </c>
      <c r="S10" s="44" t="s">
        <v>68</v>
      </c>
      <c r="T10" s="45" t="s">
        <v>66</v>
      </c>
      <c r="U10" s="46" t="s">
        <v>69</v>
      </c>
      <c r="V10" s="47" t="s">
        <v>70</v>
      </c>
      <c r="W10" s="47" t="s">
        <v>670</v>
      </c>
      <c r="X10" s="48">
        <v>1</v>
      </c>
    </row>
    <row r="11" spans="1:24" ht="45" x14ac:dyDescent="0.2">
      <c r="A11" s="593"/>
      <c r="B11" s="49"/>
      <c r="C11" s="593"/>
      <c r="D11" s="44" t="s">
        <v>71</v>
      </c>
      <c r="E11" s="35">
        <f>E10+1</f>
        <v>2</v>
      </c>
      <c r="F11" s="36" t="s">
        <v>72</v>
      </c>
      <c r="G11" s="36" t="s">
        <v>73</v>
      </c>
      <c r="H11" s="37">
        <v>1</v>
      </c>
      <c r="I11" s="38">
        <f>[13]Impacto!$C$59</f>
        <v>20</v>
      </c>
      <c r="J11" s="39">
        <f t="shared" ref="J11:J49" si="0">I11*H11</f>
        <v>20</v>
      </c>
      <c r="K11" s="40" t="s">
        <v>74</v>
      </c>
      <c r="L11" s="41" t="str">
        <f>IF([13]Control!B13="x","Preventivo",IF([13]Control!C13="x","Detectivo",IF([13]Control!D13="x","Correctivo","Error")))</f>
        <v>Correctivo</v>
      </c>
      <c r="M11" s="42">
        <f>IF(L11="Preventivo",VLOOKUP([13]Control!H13,'[13]Medicion Riesgo'!$A$59:$C$81,2),0)</f>
        <v>0</v>
      </c>
      <c r="N11" s="42">
        <f t="shared" ref="N11:N49" si="1">IF(H11-M11&lt;1,1,H11-M11)</f>
        <v>1</v>
      </c>
      <c r="O11" s="42">
        <f t="shared" ref="O11:O49" si="2">I11</f>
        <v>20</v>
      </c>
      <c r="P11" s="43">
        <f>O11*N11</f>
        <v>20</v>
      </c>
      <c r="Q11" s="44" t="s">
        <v>75</v>
      </c>
      <c r="R11" s="44" t="s">
        <v>76</v>
      </c>
      <c r="S11" s="44" t="s">
        <v>77</v>
      </c>
      <c r="T11" s="44" t="s">
        <v>78</v>
      </c>
      <c r="U11" s="46" t="s">
        <v>79</v>
      </c>
      <c r="V11" s="47" t="s">
        <v>80</v>
      </c>
      <c r="W11" s="47" t="s">
        <v>671</v>
      </c>
      <c r="X11" s="48">
        <v>1</v>
      </c>
    </row>
    <row r="12" spans="1:24" ht="168.75" x14ac:dyDescent="0.2">
      <c r="A12" s="593"/>
      <c r="B12" s="49"/>
      <c r="C12" s="593"/>
      <c r="D12" s="50" t="s">
        <v>81</v>
      </c>
      <c r="E12" s="35">
        <f t="shared" ref="E12:E49" si="3">E11+1</f>
        <v>3</v>
      </c>
      <c r="F12" s="50" t="s">
        <v>82</v>
      </c>
      <c r="G12" s="36" t="s">
        <v>83</v>
      </c>
      <c r="H12" s="51">
        <v>2</v>
      </c>
      <c r="I12" s="38">
        <f>[13]Impacto!$C$93</f>
        <v>20</v>
      </c>
      <c r="J12" s="39">
        <f t="shared" si="0"/>
        <v>40</v>
      </c>
      <c r="K12" s="40" t="s">
        <v>84</v>
      </c>
      <c r="L12" s="41" t="str">
        <f>IF([13]Control!B22="x","Preventivo",IF([13]Control!C22="x","Detectivo",IF([13]Control!D22="x","Correctivo","Error")))</f>
        <v>Correctivo</v>
      </c>
      <c r="M12" s="42">
        <f>IF(L12="Preventivo",VLOOKUP([13]Control!H22,'[13]Medicion Riesgo'!$A$59:$C$81,2),0)</f>
        <v>0</v>
      </c>
      <c r="N12" s="42">
        <f t="shared" si="1"/>
        <v>2</v>
      </c>
      <c r="O12" s="42">
        <f t="shared" si="2"/>
        <v>20</v>
      </c>
      <c r="P12" s="43">
        <f t="shared" ref="P12:P49" si="4">O12*N12</f>
        <v>40</v>
      </c>
      <c r="Q12" s="44" t="s">
        <v>78</v>
      </c>
      <c r="R12" s="44" t="s">
        <v>85</v>
      </c>
      <c r="S12" s="44" t="s">
        <v>86</v>
      </c>
      <c r="T12" s="44" t="s">
        <v>78</v>
      </c>
      <c r="U12" s="44" t="s">
        <v>85</v>
      </c>
      <c r="V12" s="47" t="s">
        <v>87</v>
      </c>
      <c r="W12" s="47" t="s">
        <v>649</v>
      </c>
      <c r="X12" s="48">
        <v>1</v>
      </c>
    </row>
    <row r="13" spans="1:24" ht="409.5" x14ac:dyDescent="0.2">
      <c r="A13" s="593"/>
      <c r="B13" s="52"/>
      <c r="C13" s="593"/>
      <c r="D13" s="44" t="s">
        <v>88</v>
      </c>
      <c r="E13" s="35">
        <f>E12+1</f>
        <v>4</v>
      </c>
      <c r="F13" s="36" t="s">
        <v>89</v>
      </c>
      <c r="G13" s="36" t="s">
        <v>90</v>
      </c>
      <c r="H13" s="37">
        <v>1</v>
      </c>
      <c r="I13" s="38">
        <f>[13]Impacto!$C$127</f>
        <v>10</v>
      </c>
      <c r="J13" s="39">
        <f t="shared" si="0"/>
        <v>10</v>
      </c>
      <c r="K13" s="40" t="s">
        <v>91</v>
      </c>
      <c r="L13" s="41" t="str">
        <f>IF([13]Control!B31="x","Preventivo",IF([13]Control!C31="x","Detectivo",IF([13]Control!D31="x","Correctivo","Error")))</f>
        <v>Correctivo</v>
      </c>
      <c r="M13" s="42">
        <f>IF(L13="Preventivo",VLOOKUP([13]Control!H31,'[13]Medicion Riesgo'!$A$59:$C$81,2),0)</f>
        <v>0</v>
      </c>
      <c r="N13" s="42">
        <f t="shared" si="1"/>
        <v>1</v>
      </c>
      <c r="O13" s="42">
        <f t="shared" si="2"/>
        <v>10</v>
      </c>
      <c r="P13" s="43">
        <f t="shared" si="4"/>
        <v>10</v>
      </c>
      <c r="Q13" s="44" t="s">
        <v>92</v>
      </c>
      <c r="R13" s="40" t="s">
        <v>91</v>
      </c>
      <c r="S13" s="44" t="s">
        <v>93</v>
      </c>
      <c r="T13" s="44" t="s">
        <v>92</v>
      </c>
      <c r="U13" s="46" t="s">
        <v>94</v>
      </c>
      <c r="V13" s="47" t="s">
        <v>95</v>
      </c>
      <c r="W13" s="47" t="s">
        <v>647</v>
      </c>
      <c r="X13" s="48">
        <v>1</v>
      </c>
    </row>
    <row r="14" spans="1:24" ht="121.5" customHeight="1" x14ac:dyDescent="0.2">
      <c r="A14" s="53" t="s">
        <v>96</v>
      </c>
      <c r="B14" s="54" t="s">
        <v>97</v>
      </c>
      <c r="C14" s="53" t="s">
        <v>15</v>
      </c>
      <c r="D14" s="55" t="s">
        <v>98</v>
      </c>
      <c r="E14" s="35">
        <f t="shared" si="3"/>
        <v>5</v>
      </c>
      <c r="F14" s="56" t="s">
        <v>99</v>
      </c>
      <c r="G14" s="56" t="s">
        <v>100</v>
      </c>
      <c r="H14" s="57">
        <v>5</v>
      </c>
      <c r="I14" s="38">
        <f>[13]Impacto!$C$161</f>
        <v>20</v>
      </c>
      <c r="J14" s="39">
        <f t="shared" si="0"/>
        <v>100</v>
      </c>
      <c r="K14" s="58" t="s">
        <v>101</v>
      </c>
      <c r="L14" s="41" t="str">
        <f>IF([13]Control!B40="x","Preventivo",IF([13]Control!C40="x","Detectivo",IF([13]Control!D40="x","Correctivo","Error")))</f>
        <v>Correctivo</v>
      </c>
      <c r="M14" s="42">
        <f>IF(L14="Preventivo",VLOOKUP([13]Control!H40,'[13]Medicion Riesgo'!$A$59:$C$81,2),0)</f>
        <v>0</v>
      </c>
      <c r="N14" s="42">
        <f t="shared" si="1"/>
        <v>5</v>
      </c>
      <c r="O14" s="42">
        <f t="shared" si="2"/>
        <v>20</v>
      </c>
      <c r="P14" s="43">
        <f t="shared" si="4"/>
        <v>100</v>
      </c>
      <c r="Q14" s="44" t="s">
        <v>102</v>
      </c>
      <c r="R14" s="44" t="s">
        <v>103</v>
      </c>
      <c r="S14" s="44" t="s">
        <v>104</v>
      </c>
      <c r="T14" s="45" t="s">
        <v>501</v>
      </c>
      <c r="U14" s="46" t="s">
        <v>105</v>
      </c>
      <c r="V14" s="47" t="s">
        <v>106</v>
      </c>
      <c r="W14" s="128" t="s">
        <v>517</v>
      </c>
      <c r="X14" s="48">
        <v>1</v>
      </c>
    </row>
    <row r="15" spans="1:24" ht="45" x14ac:dyDescent="0.2">
      <c r="A15" s="566" t="s">
        <v>107</v>
      </c>
      <c r="B15" s="587" t="s">
        <v>108</v>
      </c>
      <c r="C15" s="579" t="s">
        <v>4</v>
      </c>
      <c r="D15" s="59" t="s">
        <v>109</v>
      </c>
      <c r="E15" s="35">
        <f t="shared" si="3"/>
        <v>6</v>
      </c>
      <c r="F15" s="60" t="s">
        <v>110</v>
      </c>
      <c r="G15" s="36" t="s">
        <v>111</v>
      </c>
      <c r="H15" s="61">
        <v>2</v>
      </c>
      <c r="I15" s="38">
        <f>[13]Impacto!$C$195</f>
        <v>10</v>
      </c>
      <c r="J15" s="39">
        <f t="shared" si="0"/>
        <v>20</v>
      </c>
      <c r="K15" s="40" t="s">
        <v>112</v>
      </c>
      <c r="L15" s="41" t="str">
        <f>IF([13]Control!B49="x","Preventivo",IF([13]Control!C49="x","Detectivo",IF([13]Control!D49="x","Correctivo","Error")))</f>
        <v>Correctivo</v>
      </c>
      <c r="M15" s="42">
        <f>IF(L15="Preventivo",VLOOKUP([13]Control!H49,'[13]Medicion Riesgo'!$A$59:$C$81,2),0)</f>
        <v>0</v>
      </c>
      <c r="N15" s="42">
        <f t="shared" si="1"/>
        <v>2</v>
      </c>
      <c r="O15" s="42">
        <f t="shared" si="2"/>
        <v>10</v>
      </c>
      <c r="P15" s="43">
        <f t="shared" si="4"/>
        <v>20</v>
      </c>
      <c r="Q15" s="44" t="s">
        <v>113</v>
      </c>
      <c r="R15" s="44" t="s">
        <v>114</v>
      </c>
      <c r="S15" s="44" t="s">
        <v>115</v>
      </c>
      <c r="T15" s="45" t="s">
        <v>113</v>
      </c>
      <c r="U15" s="46" t="s">
        <v>116</v>
      </c>
      <c r="V15" s="47" t="s">
        <v>117</v>
      </c>
      <c r="W15" s="47" t="s">
        <v>508</v>
      </c>
      <c r="X15" s="48"/>
    </row>
    <row r="16" spans="1:24" ht="33.75" x14ac:dyDescent="0.2">
      <c r="A16" s="566"/>
      <c r="B16" s="592"/>
      <c r="C16" s="580"/>
      <c r="D16" s="40" t="s">
        <v>118</v>
      </c>
      <c r="E16" s="35">
        <f t="shared" si="3"/>
        <v>7</v>
      </c>
      <c r="F16" s="60" t="s">
        <v>119</v>
      </c>
      <c r="G16" s="36" t="s">
        <v>120</v>
      </c>
      <c r="H16" s="61">
        <v>2</v>
      </c>
      <c r="I16" s="38">
        <f>[13]Impacto!$C$229</f>
        <v>10</v>
      </c>
      <c r="J16" s="39">
        <f t="shared" si="0"/>
        <v>20</v>
      </c>
      <c r="K16" s="40" t="s">
        <v>121</v>
      </c>
      <c r="L16" s="41" t="str">
        <f>IF([13]Control!B58="x","Preventivo",IF([13]Control!C58="x","Detectivo",IF([13]Control!D58="x","Correctivo","Error")))</f>
        <v>Correctivo</v>
      </c>
      <c r="M16" s="42">
        <f>IF(L16="Preventivo",VLOOKUP([13]Control!H58,'[13]Medicion Riesgo'!$A$59:$C$81,2),0)</f>
        <v>0</v>
      </c>
      <c r="N16" s="42">
        <f t="shared" si="1"/>
        <v>2</v>
      </c>
      <c r="O16" s="42">
        <f t="shared" si="2"/>
        <v>10</v>
      </c>
      <c r="P16" s="43">
        <f t="shared" si="4"/>
        <v>20</v>
      </c>
      <c r="Q16" s="44" t="s">
        <v>113</v>
      </c>
      <c r="R16" s="44" t="s">
        <v>122</v>
      </c>
      <c r="S16" s="44" t="s">
        <v>115</v>
      </c>
      <c r="T16" s="45" t="s">
        <v>113</v>
      </c>
      <c r="U16" s="46" t="s">
        <v>116</v>
      </c>
      <c r="V16" s="47" t="s">
        <v>123</v>
      </c>
      <c r="W16" s="47" t="s">
        <v>508</v>
      </c>
      <c r="X16" s="48"/>
    </row>
    <row r="17" spans="1:24" ht="135" x14ac:dyDescent="0.2">
      <c r="A17" s="594" t="s">
        <v>124</v>
      </c>
      <c r="B17" s="33" t="s">
        <v>125</v>
      </c>
      <c r="C17" s="589" t="s">
        <v>126</v>
      </c>
      <c r="D17" s="44" t="s">
        <v>127</v>
      </c>
      <c r="E17" s="35">
        <f t="shared" si="3"/>
        <v>8</v>
      </c>
      <c r="F17" s="60" t="s">
        <v>128</v>
      </c>
      <c r="G17" s="60" t="s">
        <v>129</v>
      </c>
      <c r="H17" s="61">
        <v>1</v>
      </c>
      <c r="I17" s="38">
        <f>[13]Impacto!$C$263</f>
        <v>10</v>
      </c>
      <c r="J17" s="39">
        <f t="shared" si="0"/>
        <v>10</v>
      </c>
      <c r="K17" s="44" t="s">
        <v>130</v>
      </c>
      <c r="L17" s="41" t="str">
        <f>IF([13]Control!B67="x","Preventivo",IF([13]Control!C67="x","Detectivo",IF([13]Control!D67="x","Correctivo","Error")))</f>
        <v>Correctivo</v>
      </c>
      <c r="M17" s="42">
        <f>IF(L17="Preventivo",VLOOKUP([13]Control!H67,'[13]Medicion Riesgo'!$A$59:$C$81,2),0)</f>
        <v>0</v>
      </c>
      <c r="N17" s="42">
        <f t="shared" si="1"/>
        <v>1</v>
      </c>
      <c r="O17" s="42">
        <f t="shared" si="2"/>
        <v>10</v>
      </c>
      <c r="P17" s="43">
        <f t="shared" si="4"/>
        <v>10</v>
      </c>
      <c r="Q17" s="44" t="s">
        <v>131</v>
      </c>
      <c r="R17" s="44" t="s">
        <v>132</v>
      </c>
      <c r="S17" s="44" t="s">
        <v>133</v>
      </c>
      <c r="T17" s="45" t="s">
        <v>507</v>
      </c>
      <c r="U17" s="41" t="s">
        <v>134</v>
      </c>
      <c r="V17" s="47" t="s">
        <v>135</v>
      </c>
      <c r="W17" s="47" t="s">
        <v>665</v>
      </c>
      <c r="X17" s="48">
        <v>1</v>
      </c>
    </row>
    <row r="18" spans="1:24" ht="146.25" x14ac:dyDescent="0.2">
      <c r="A18" s="595"/>
      <c r="B18" s="62"/>
      <c r="C18" s="593"/>
      <c r="D18" s="63" t="s">
        <v>136</v>
      </c>
      <c r="E18" s="35">
        <f t="shared" si="3"/>
        <v>9</v>
      </c>
      <c r="F18" s="63" t="s">
        <v>137</v>
      </c>
      <c r="G18" s="63" t="s">
        <v>138</v>
      </c>
      <c r="H18" s="64">
        <v>1</v>
      </c>
      <c r="I18" s="38">
        <f>[13]Impacto!$C$297</f>
        <v>20</v>
      </c>
      <c r="J18" s="39">
        <f t="shared" si="0"/>
        <v>20</v>
      </c>
      <c r="K18" s="63" t="s">
        <v>139</v>
      </c>
      <c r="L18" s="41" t="str">
        <f>IF([13]Control!B76="x","Preventivo",IF([13]Control!C76="x","Detectivo",IF([13]Control!D76="x","Correctivo","Error")))</f>
        <v>Correctivo</v>
      </c>
      <c r="M18" s="42">
        <f>IF(L18="Preventivo",VLOOKUP([13]Control!H76,'[13]Medicion Riesgo'!$A$59:$C$81,2),0)</f>
        <v>0</v>
      </c>
      <c r="N18" s="42">
        <f t="shared" si="1"/>
        <v>1</v>
      </c>
      <c r="O18" s="42">
        <f t="shared" si="2"/>
        <v>20</v>
      </c>
      <c r="P18" s="43">
        <f t="shared" si="4"/>
        <v>20</v>
      </c>
      <c r="Q18" s="44" t="s">
        <v>140</v>
      </c>
      <c r="R18" s="44" t="s">
        <v>141</v>
      </c>
      <c r="S18" s="44" t="s">
        <v>142</v>
      </c>
      <c r="T18" s="45" t="s">
        <v>143</v>
      </c>
      <c r="U18" s="46" t="s">
        <v>144</v>
      </c>
      <c r="V18" s="47" t="s">
        <v>135</v>
      </c>
      <c r="W18" s="47" t="s">
        <v>666</v>
      </c>
      <c r="X18" s="48">
        <v>1</v>
      </c>
    </row>
    <row r="19" spans="1:24" ht="78.75" x14ac:dyDescent="0.2">
      <c r="A19" s="595"/>
      <c r="B19" s="62"/>
      <c r="C19" s="593"/>
      <c r="D19" s="63" t="s">
        <v>145</v>
      </c>
      <c r="E19" s="35">
        <f t="shared" si="3"/>
        <v>10</v>
      </c>
      <c r="F19" s="63" t="s">
        <v>146</v>
      </c>
      <c r="G19" s="63" t="s">
        <v>147</v>
      </c>
      <c r="H19" s="64">
        <v>1</v>
      </c>
      <c r="I19" s="38">
        <f>[13]Impacto!$C$331</f>
        <v>10</v>
      </c>
      <c r="J19" s="39">
        <f t="shared" si="0"/>
        <v>10</v>
      </c>
      <c r="K19" s="63" t="s">
        <v>148</v>
      </c>
      <c r="L19" s="41" t="str">
        <f>IF([13]Control!B85="x","Preventivo",IF([13]Control!C85="x","Detectivo",IF([13]Control!D85="x","Correctivo","Error")))</f>
        <v>Correctivo</v>
      </c>
      <c r="M19" s="42">
        <f>IF(L19="Preventivo",VLOOKUP([13]Control!H85,'[13]Medicion Riesgo'!$A$59:$C$81,2),0)</f>
        <v>0</v>
      </c>
      <c r="N19" s="42">
        <f t="shared" si="1"/>
        <v>1</v>
      </c>
      <c r="O19" s="42">
        <f t="shared" si="2"/>
        <v>10</v>
      </c>
      <c r="P19" s="43">
        <f t="shared" si="4"/>
        <v>10</v>
      </c>
      <c r="Q19" s="44" t="s">
        <v>140</v>
      </c>
      <c r="R19" s="44" t="s">
        <v>149</v>
      </c>
      <c r="S19" s="44" t="s">
        <v>150</v>
      </c>
      <c r="T19" s="45" t="s">
        <v>151</v>
      </c>
      <c r="U19" s="46" t="s">
        <v>152</v>
      </c>
      <c r="V19" s="47" t="s">
        <v>135</v>
      </c>
      <c r="W19" s="47" t="s">
        <v>667</v>
      </c>
      <c r="X19" s="48">
        <v>1</v>
      </c>
    </row>
    <row r="20" spans="1:24" ht="67.5" x14ac:dyDescent="0.2">
      <c r="A20" s="596"/>
      <c r="B20" s="65"/>
      <c r="C20" s="591"/>
      <c r="D20" s="63" t="s">
        <v>153</v>
      </c>
      <c r="E20" s="35">
        <f t="shared" si="3"/>
        <v>11</v>
      </c>
      <c r="F20" s="63" t="s">
        <v>154</v>
      </c>
      <c r="G20" s="63" t="s">
        <v>155</v>
      </c>
      <c r="H20" s="64">
        <v>1</v>
      </c>
      <c r="I20" s="38">
        <f>[13]Impacto!$C$365</f>
        <v>10</v>
      </c>
      <c r="J20" s="39">
        <v>10</v>
      </c>
      <c r="K20" s="63" t="s">
        <v>156</v>
      </c>
      <c r="L20" s="41" t="str">
        <f>IF([13]Control!B94="x","Preventivo",IF([13]Control!C94="x","Detectivo",IF([13]Control!D94="x","Correctivo","Error")))</f>
        <v>Correctivo</v>
      </c>
      <c r="M20" s="42">
        <f>IF(L20="Preventivo",VLOOKUP([13]Control!H94,'[13]Medicion Riesgo'!$A$59:$C$81,2),0)</f>
        <v>0</v>
      </c>
      <c r="N20" s="42">
        <f t="shared" si="1"/>
        <v>1</v>
      </c>
      <c r="O20" s="42">
        <f t="shared" si="2"/>
        <v>10</v>
      </c>
      <c r="P20" s="43">
        <f t="shared" si="4"/>
        <v>10</v>
      </c>
      <c r="Q20" s="44" t="s">
        <v>157</v>
      </c>
      <c r="R20" s="44" t="s">
        <v>158</v>
      </c>
      <c r="S20" s="44" t="s">
        <v>159</v>
      </c>
      <c r="T20" s="45" t="s">
        <v>501</v>
      </c>
      <c r="U20" s="46" t="s">
        <v>160</v>
      </c>
      <c r="V20" s="47" t="s">
        <v>135</v>
      </c>
      <c r="W20" s="47" t="s">
        <v>668</v>
      </c>
      <c r="X20" s="48">
        <v>1</v>
      </c>
    </row>
    <row r="21" spans="1:24" ht="56.25" x14ac:dyDescent="0.2">
      <c r="A21" s="66" t="s">
        <v>161</v>
      </c>
      <c r="B21" s="33" t="s">
        <v>162</v>
      </c>
      <c r="C21" s="67" t="s">
        <v>163</v>
      </c>
      <c r="D21" s="68" t="s">
        <v>164</v>
      </c>
      <c r="E21" s="35">
        <f t="shared" si="3"/>
        <v>12</v>
      </c>
      <c r="F21" s="68" t="s">
        <v>165</v>
      </c>
      <c r="G21" s="69" t="s">
        <v>166</v>
      </c>
      <c r="H21" s="70">
        <v>5</v>
      </c>
      <c r="I21" s="38">
        <f>[13]Impacto!$C$399</f>
        <v>10</v>
      </c>
      <c r="J21" s="39">
        <f t="shared" si="0"/>
        <v>50</v>
      </c>
      <c r="K21" s="71" t="s">
        <v>167</v>
      </c>
      <c r="L21" s="41" t="str">
        <f>IF([13]Control!B103="x","Preventivo",IF([13]Control!C103="x","Detectivo",IF([13]Control!D103="x","Correctivo","Error")))</f>
        <v>Correctivo</v>
      </c>
      <c r="M21" s="42">
        <f>IF(L21="Preventivo",VLOOKUP([13]Control!H103,'[13]Medicion Riesgo'!$A$59:$C$81,2),0)</f>
        <v>0</v>
      </c>
      <c r="N21" s="42">
        <f t="shared" si="1"/>
        <v>5</v>
      </c>
      <c r="O21" s="42">
        <f t="shared" si="2"/>
        <v>10</v>
      </c>
      <c r="P21" s="43">
        <f t="shared" si="4"/>
        <v>50</v>
      </c>
      <c r="Q21" s="44" t="s">
        <v>168</v>
      </c>
      <c r="R21" s="44" t="s">
        <v>169</v>
      </c>
      <c r="S21" s="44" t="s">
        <v>170</v>
      </c>
      <c r="T21" s="45" t="s">
        <v>502</v>
      </c>
      <c r="U21" s="46" t="s">
        <v>171</v>
      </c>
      <c r="V21" s="47" t="s">
        <v>506</v>
      </c>
      <c r="W21" s="245" t="s">
        <v>669</v>
      </c>
      <c r="X21" s="48">
        <v>1</v>
      </c>
    </row>
    <row r="22" spans="1:24" ht="90" x14ac:dyDescent="0.2">
      <c r="A22" s="53" t="s">
        <v>172</v>
      </c>
      <c r="B22" s="72" t="s">
        <v>173</v>
      </c>
      <c r="C22" s="67" t="s">
        <v>174</v>
      </c>
      <c r="D22" s="73" t="s">
        <v>175</v>
      </c>
      <c r="E22" s="35">
        <f t="shared" si="3"/>
        <v>13</v>
      </c>
      <c r="F22" s="63" t="s">
        <v>176</v>
      </c>
      <c r="G22" s="63" t="s">
        <v>177</v>
      </c>
      <c r="H22" s="64">
        <v>5</v>
      </c>
      <c r="I22" s="38">
        <f>[13]Impacto!$C$433</f>
        <v>10</v>
      </c>
      <c r="J22" s="39">
        <f t="shared" si="0"/>
        <v>50</v>
      </c>
      <c r="K22" s="73" t="s">
        <v>178</v>
      </c>
      <c r="L22" s="41" t="str">
        <f>IF([13]Control!B112="x","Preventivo",IF([13]Control!C112="x","Detectivo",IF([13]Control!D112="x","Correctivo","Error")))</f>
        <v>Correctivo</v>
      </c>
      <c r="M22" s="42">
        <f>IF(L22="Preventivo",VLOOKUP([13]Control!H112,'[13]Medicion Riesgo'!$A$59:$C$81,2),0)</f>
        <v>0</v>
      </c>
      <c r="N22" s="42">
        <f t="shared" si="1"/>
        <v>5</v>
      </c>
      <c r="O22" s="42">
        <f t="shared" si="2"/>
        <v>10</v>
      </c>
      <c r="P22" s="43">
        <f t="shared" si="4"/>
        <v>50</v>
      </c>
      <c r="Q22" s="44"/>
      <c r="R22" s="74" t="s">
        <v>179</v>
      </c>
      <c r="S22" s="74" t="s">
        <v>180</v>
      </c>
      <c r="T22" s="45" t="s">
        <v>78</v>
      </c>
      <c r="U22" s="75" t="s">
        <v>181</v>
      </c>
      <c r="V22" s="76" t="s">
        <v>182</v>
      </c>
      <c r="W22" s="76" t="s">
        <v>648</v>
      </c>
      <c r="X22" s="48">
        <v>0</v>
      </c>
    </row>
    <row r="23" spans="1:24" ht="169.5" customHeight="1" x14ac:dyDescent="0.2">
      <c r="A23" s="597" t="s">
        <v>183</v>
      </c>
      <c r="B23" s="599" t="s">
        <v>184</v>
      </c>
      <c r="C23" s="601" t="s">
        <v>185</v>
      </c>
      <c r="D23" s="75" t="s">
        <v>186</v>
      </c>
      <c r="E23" s="35">
        <f t="shared" si="3"/>
        <v>14</v>
      </c>
      <c r="F23" s="73" t="s">
        <v>187</v>
      </c>
      <c r="G23" s="58" t="s">
        <v>188</v>
      </c>
      <c r="H23" s="77">
        <v>5</v>
      </c>
      <c r="I23" s="38">
        <f>[13]Impacto!$C$467</f>
        <v>20</v>
      </c>
      <c r="J23" s="39">
        <f t="shared" si="0"/>
        <v>100</v>
      </c>
      <c r="K23" s="73" t="s">
        <v>189</v>
      </c>
      <c r="L23" s="41" t="str">
        <f>IF([13]Control!B121="x","Preventivo",IF([13]Control!C121="x","Detectivo",IF([13]Control!D121="x","Correctivo","Error")))</f>
        <v>Correctivo</v>
      </c>
      <c r="M23" s="42">
        <f>IF(L23="Preventivo",VLOOKUP([13]Control!H121,'[13]Medicion Riesgo'!$A$59:$C$81,2),0)</f>
        <v>0</v>
      </c>
      <c r="N23" s="42">
        <f t="shared" si="1"/>
        <v>5</v>
      </c>
      <c r="O23" s="42">
        <f t="shared" si="2"/>
        <v>20</v>
      </c>
      <c r="P23" s="43">
        <f t="shared" si="4"/>
        <v>100</v>
      </c>
      <c r="Q23" s="78" t="s">
        <v>190</v>
      </c>
      <c r="R23" s="44" t="s">
        <v>191</v>
      </c>
      <c r="S23" s="44" t="s">
        <v>192</v>
      </c>
      <c r="T23" s="45" t="s">
        <v>503</v>
      </c>
      <c r="U23" s="46" t="s">
        <v>193</v>
      </c>
      <c r="V23" s="47" t="s">
        <v>194</v>
      </c>
      <c r="W23" s="47" t="s">
        <v>672</v>
      </c>
      <c r="X23" s="48">
        <v>1</v>
      </c>
    </row>
    <row r="24" spans="1:24" ht="78.75" x14ac:dyDescent="0.2">
      <c r="A24" s="598"/>
      <c r="B24" s="600"/>
      <c r="C24" s="602"/>
      <c r="D24" s="73" t="s">
        <v>195</v>
      </c>
      <c r="E24" s="35">
        <f t="shared" si="3"/>
        <v>15</v>
      </c>
      <c r="F24" s="73" t="s">
        <v>196</v>
      </c>
      <c r="G24" s="73" t="s">
        <v>197</v>
      </c>
      <c r="H24" s="77">
        <v>5</v>
      </c>
      <c r="I24" s="38">
        <f>[13]Impacto!$C$501</f>
        <v>20</v>
      </c>
      <c r="J24" s="39">
        <f t="shared" si="0"/>
        <v>100</v>
      </c>
      <c r="K24" s="58" t="s">
        <v>198</v>
      </c>
      <c r="L24" s="41" t="str">
        <f>IF([13]Control!B130="x","Preventivo",IF([13]Control!C130="x","Detectivo",IF([13]Control!D130="x","Correctivo","Error")))</f>
        <v>Correctivo</v>
      </c>
      <c r="M24" s="42">
        <f>IF(L24="Preventivo",VLOOKUP([13]Control!H130,'[13]Medicion Riesgo'!$A$59:$C$81,2),0)</f>
        <v>0</v>
      </c>
      <c r="N24" s="42">
        <f t="shared" si="1"/>
        <v>5</v>
      </c>
      <c r="O24" s="42">
        <f t="shared" si="2"/>
        <v>20</v>
      </c>
      <c r="P24" s="43">
        <f t="shared" si="4"/>
        <v>100</v>
      </c>
      <c r="Q24" s="78" t="s">
        <v>190</v>
      </c>
      <c r="R24" s="44" t="s">
        <v>199</v>
      </c>
      <c r="S24" s="44" t="s">
        <v>200</v>
      </c>
      <c r="T24" s="45" t="s">
        <v>503</v>
      </c>
      <c r="U24" s="46" t="s">
        <v>201</v>
      </c>
      <c r="V24" s="47" t="s">
        <v>202</v>
      </c>
      <c r="W24" s="47" t="s">
        <v>652</v>
      </c>
      <c r="X24" s="48">
        <v>1</v>
      </c>
    </row>
    <row r="25" spans="1:24" ht="67.5" x14ac:dyDescent="0.2">
      <c r="A25" s="598"/>
      <c r="B25" s="600"/>
      <c r="C25" s="602"/>
      <c r="D25" s="75" t="s">
        <v>203</v>
      </c>
      <c r="E25" s="35">
        <f t="shared" si="3"/>
        <v>16</v>
      </c>
      <c r="F25" s="73" t="s">
        <v>204</v>
      </c>
      <c r="G25" s="58" t="s">
        <v>205</v>
      </c>
      <c r="H25" s="77">
        <v>5</v>
      </c>
      <c r="I25" s="38">
        <f>[13]Impacto!$C$535</f>
        <v>20</v>
      </c>
      <c r="J25" s="39">
        <f t="shared" si="0"/>
        <v>100</v>
      </c>
      <c r="K25" s="75" t="s">
        <v>206</v>
      </c>
      <c r="L25" s="41" t="str">
        <f>IF([13]Control!B139="x","Preventivo",IF([13]Control!C139="x","Detectivo",IF([13]Control!D139="x","Correctivo","Error")))</f>
        <v>Correctivo</v>
      </c>
      <c r="M25" s="42">
        <f>IF(L25="Preventivo",VLOOKUP([13]Control!H139,'[13]Medicion Riesgo'!$A$59:$C$81,2),0)</f>
        <v>0</v>
      </c>
      <c r="N25" s="42">
        <f t="shared" si="1"/>
        <v>5</v>
      </c>
      <c r="O25" s="42">
        <f t="shared" si="2"/>
        <v>20</v>
      </c>
      <c r="P25" s="43">
        <f t="shared" si="4"/>
        <v>100</v>
      </c>
      <c r="Q25" s="78" t="s">
        <v>190</v>
      </c>
      <c r="R25" s="44" t="s">
        <v>207</v>
      </c>
      <c r="S25" s="44" t="s">
        <v>208</v>
      </c>
      <c r="T25" s="45" t="s">
        <v>503</v>
      </c>
      <c r="U25" s="46" t="s">
        <v>209</v>
      </c>
      <c r="V25" s="47" t="s">
        <v>210</v>
      </c>
      <c r="W25" s="47" t="s">
        <v>648</v>
      </c>
      <c r="X25" s="48">
        <v>0</v>
      </c>
    </row>
    <row r="26" spans="1:24" ht="90" x14ac:dyDescent="0.2">
      <c r="A26" s="598"/>
      <c r="B26" s="600"/>
      <c r="C26" s="602"/>
      <c r="D26" s="79" t="s">
        <v>211</v>
      </c>
      <c r="E26" s="35">
        <f t="shared" si="3"/>
        <v>17</v>
      </c>
      <c r="F26" s="75" t="s">
        <v>212</v>
      </c>
      <c r="G26" s="80" t="s">
        <v>213</v>
      </c>
      <c r="H26" s="81">
        <v>5</v>
      </c>
      <c r="I26" s="38">
        <f>[13]Impacto!$C$569</f>
        <v>10</v>
      </c>
      <c r="J26" s="39">
        <f t="shared" si="0"/>
        <v>50</v>
      </c>
      <c r="K26" s="80" t="s">
        <v>214</v>
      </c>
      <c r="L26" s="41" t="str">
        <f>IF([13]Control!B148="x","Preventivo",IF([13]Control!C148="x","Detectivo",IF([13]Control!D148="x","Correctivo","Error")))</f>
        <v>Correctivo</v>
      </c>
      <c r="M26" s="42">
        <f>IF(L26="Preventivo",VLOOKUP([13]Control!H148,'[13]Medicion Riesgo'!$A$59:$C$81,2),0)</f>
        <v>0</v>
      </c>
      <c r="N26" s="42">
        <f t="shared" si="1"/>
        <v>5</v>
      </c>
      <c r="O26" s="42">
        <f t="shared" si="2"/>
        <v>10</v>
      </c>
      <c r="P26" s="43">
        <f t="shared" si="4"/>
        <v>50</v>
      </c>
      <c r="Q26" s="78" t="s">
        <v>190</v>
      </c>
      <c r="R26" s="44" t="s">
        <v>215</v>
      </c>
      <c r="S26" s="44" t="s">
        <v>216</v>
      </c>
      <c r="T26" s="45" t="s">
        <v>503</v>
      </c>
      <c r="U26" s="46" t="s">
        <v>217</v>
      </c>
      <c r="V26" s="47" t="s">
        <v>218</v>
      </c>
      <c r="W26" s="47" t="s">
        <v>673</v>
      </c>
      <c r="X26" s="48">
        <v>1</v>
      </c>
    </row>
    <row r="27" spans="1:24" ht="135" x14ac:dyDescent="0.2">
      <c r="A27" s="598"/>
      <c r="B27" s="600"/>
      <c r="C27" s="602"/>
      <c r="D27" s="73" t="s">
        <v>219</v>
      </c>
      <c r="E27" s="35">
        <f t="shared" si="3"/>
        <v>18</v>
      </c>
      <c r="F27" s="58" t="s">
        <v>220</v>
      </c>
      <c r="G27" s="73" t="s">
        <v>221</v>
      </c>
      <c r="H27" s="77">
        <v>5</v>
      </c>
      <c r="I27" s="38">
        <f>[13]Impacto!$C$603</f>
        <v>10</v>
      </c>
      <c r="J27" s="39">
        <f t="shared" si="0"/>
        <v>50</v>
      </c>
      <c r="K27" s="82" t="s">
        <v>222</v>
      </c>
      <c r="L27" s="41" t="str">
        <f>IF([13]Control!B157="x","Preventivo",IF([13]Control!C157="x","Detectivo",IF([13]Control!D157="x","Correctivo","Error")))</f>
        <v>Correctivo</v>
      </c>
      <c r="M27" s="42">
        <f>IF(L27="Preventivo",VLOOKUP([13]Control!H157,'[13]Medicion Riesgo'!$A$59:$C$81,2),0)</f>
        <v>0</v>
      </c>
      <c r="N27" s="42">
        <f t="shared" si="1"/>
        <v>5</v>
      </c>
      <c r="O27" s="42">
        <f t="shared" si="2"/>
        <v>10</v>
      </c>
      <c r="P27" s="43">
        <f t="shared" si="4"/>
        <v>50</v>
      </c>
      <c r="Q27" s="78" t="s">
        <v>190</v>
      </c>
      <c r="R27" s="44" t="s">
        <v>223</v>
      </c>
      <c r="S27" s="44" t="s">
        <v>224</v>
      </c>
      <c r="T27" s="45" t="s">
        <v>503</v>
      </c>
      <c r="U27" s="41" t="s">
        <v>225</v>
      </c>
      <c r="V27" s="47" t="s">
        <v>226</v>
      </c>
      <c r="W27" s="47" t="s">
        <v>674</v>
      </c>
      <c r="X27" s="48">
        <v>1</v>
      </c>
    </row>
    <row r="28" spans="1:24" ht="112.5" x14ac:dyDescent="0.2">
      <c r="A28" s="598"/>
      <c r="B28" s="600"/>
      <c r="C28" s="602"/>
      <c r="D28" s="80" t="s">
        <v>227</v>
      </c>
      <c r="E28" s="35">
        <f t="shared" si="3"/>
        <v>19</v>
      </c>
      <c r="F28" s="58" t="s">
        <v>228</v>
      </c>
      <c r="G28" s="80" t="s">
        <v>221</v>
      </c>
      <c r="H28" s="83">
        <v>5</v>
      </c>
      <c r="I28" s="38">
        <f>[13]Impacto!$C$637</f>
        <v>10</v>
      </c>
      <c r="J28" s="39">
        <f t="shared" si="0"/>
        <v>50</v>
      </c>
      <c r="K28" s="80" t="s">
        <v>229</v>
      </c>
      <c r="L28" s="41" t="str">
        <f>IF([13]Control!B166="x","Preventivo",IF([13]Control!C166="x","Detectivo",IF([13]Control!D166="x","Correctivo","Error")))</f>
        <v>Correctivo</v>
      </c>
      <c r="M28" s="42">
        <f>IF(L28="Preventivo",VLOOKUP([13]Control!H166,'[13]Medicion Riesgo'!$A$59:$C$81,2),0)</f>
        <v>0</v>
      </c>
      <c r="N28" s="42">
        <f t="shared" si="1"/>
        <v>5</v>
      </c>
      <c r="O28" s="42">
        <f t="shared" si="2"/>
        <v>10</v>
      </c>
      <c r="P28" s="43">
        <f t="shared" si="4"/>
        <v>50</v>
      </c>
      <c r="Q28" s="78" t="s">
        <v>190</v>
      </c>
      <c r="R28" s="44" t="s">
        <v>230</v>
      </c>
      <c r="S28" s="44" t="s">
        <v>231</v>
      </c>
      <c r="T28" s="45" t="s">
        <v>503</v>
      </c>
      <c r="U28" s="46" t="s">
        <v>232</v>
      </c>
      <c r="V28" s="47" t="s">
        <v>233</v>
      </c>
      <c r="W28" s="47" t="s">
        <v>675</v>
      </c>
      <c r="X28" s="48">
        <v>1</v>
      </c>
    </row>
    <row r="29" spans="1:24" ht="101.25" x14ac:dyDescent="0.2">
      <c r="A29" s="598"/>
      <c r="B29" s="600"/>
      <c r="C29" s="602"/>
      <c r="D29" s="75" t="s">
        <v>234</v>
      </c>
      <c r="E29" s="35">
        <f t="shared" si="3"/>
        <v>20</v>
      </c>
      <c r="F29" s="73" t="s">
        <v>235</v>
      </c>
      <c r="G29" s="80" t="s">
        <v>236</v>
      </c>
      <c r="H29" s="83">
        <v>3</v>
      </c>
      <c r="I29" s="38">
        <f>[13]Impacto!$C$671</f>
        <v>10</v>
      </c>
      <c r="J29" s="39">
        <f t="shared" si="0"/>
        <v>30</v>
      </c>
      <c r="K29" s="58" t="s">
        <v>237</v>
      </c>
      <c r="L29" s="41" t="str">
        <f>IF([13]Control!B175="x","Preventivo",IF([13]Control!C175="x","Detectivo",IF([13]Control!D175="x","Correctivo","Error")))</f>
        <v>Correctivo</v>
      </c>
      <c r="M29" s="42">
        <f>IF(L29="Preventivo",VLOOKUP([13]Control!H175,'[13]Medicion Riesgo'!$A$59:$C$81,2),0)</f>
        <v>0</v>
      </c>
      <c r="N29" s="42">
        <f t="shared" si="1"/>
        <v>3</v>
      </c>
      <c r="O29" s="42">
        <f t="shared" si="2"/>
        <v>10</v>
      </c>
      <c r="P29" s="43">
        <f t="shared" si="4"/>
        <v>30</v>
      </c>
      <c r="Q29" s="78" t="s">
        <v>190</v>
      </c>
      <c r="R29" s="44" t="s">
        <v>238</v>
      </c>
      <c r="S29" s="44" t="s">
        <v>239</v>
      </c>
      <c r="T29" s="45" t="s">
        <v>503</v>
      </c>
      <c r="U29" s="84" t="s">
        <v>240</v>
      </c>
      <c r="V29" s="47" t="s">
        <v>241</v>
      </c>
      <c r="W29" s="47" t="s">
        <v>648</v>
      </c>
      <c r="X29" s="48">
        <v>0</v>
      </c>
    </row>
    <row r="30" spans="1:24" ht="123.75" x14ac:dyDescent="0.2">
      <c r="A30" s="598"/>
      <c r="B30" s="600"/>
      <c r="C30" s="602"/>
      <c r="D30" s="75" t="s">
        <v>242</v>
      </c>
      <c r="E30" s="35">
        <f t="shared" si="3"/>
        <v>21</v>
      </c>
      <c r="F30" s="73" t="s">
        <v>243</v>
      </c>
      <c r="G30" s="73" t="s">
        <v>244</v>
      </c>
      <c r="H30" s="77">
        <v>5</v>
      </c>
      <c r="I30" s="38">
        <f>[13]Impacto!$C$705</f>
        <v>10</v>
      </c>
      <c r="J30" s="39">
        <f t="shared" si="0"/>
        <v>50</v>
      </c>
      <c r="K30" s="75" t="s">
        <v>245</v>
      </c>
      <c r="L30" s="41" t="str">
        <f>IF([13]Control!B184="x","Preventivo",IF([13]Control!C184="x","Detectivo",IF([13]Control!D184="x","Correctivo","Error")))</f>
        <v>Correctivo</v>
      </c>
      <c r="M30" s="42">
        <f>IF(L30="Preventivo",VLOOKUP([13]Control!H184,'[13]Medicion Riesgo'!$A$59:$C$81,2),0)</f>
        <v>0</v>
      </c>
      <c r="N30" s="42">
        <f t="shared" si="1"/>
        <v>5</v>
      </c>
      <c r="O30" s="42">
        <f t="shared" si="2"/>
        <v>10</v>
      </c>
      <c r="P30" s="43">
        <f t="shared" si="4"/>
        <v>50</v>
      </c>
      <c r="Q30" s="78" t="s">
        <v>190</v>
      </c>
      <c r="R30" s="44" t="s">
        <v>246</v>
      </c>
      <c r="S30" s="44" t="s">
        <v>247</v>
      </c>
      <c r="T30" s="45" t="s">
        <v>503</v>
      </c>
      <c r="U30" s="46" t="s">
        <v>248</v>
      </c>
      <c r="V30" s="47" t="s">
        <v>241</v>
      </c>
      <c r="W30" s="47" t="s">
        <v>651</v>
      </c>
      <c r="X30" s="48">
        <v>1</v>
      </c>
    </row>
    <row r="31" spans="1:24" ht="180" x14ac:dyDescent="0.2">
      <c r="A31" s="598"/>
      <c r="B31" s="600"/>
      <c r="C31" s="602"/>
      <c r="D31" s="75" t="s">
        <v>249</v>
      </c>
      <c r="E31" s="35">
        <f t="shared" si="3"/>
        <v>22</v>
      </c>
      <c r="F31" s="75" t="s">
        <v>250</v>
      </c>
      <c r="G31" s="75" t="s">
        <v>251</v>
      </c>
      <c r="H31" s="77">
        <v>5</v>
      </c>
      <c r="I31" s="38">
        <f>[13]Impacto!$C$739</f>
        <v>10</v>
      </c>
      <c r="J31" s="39">
        <f t="shared" si="0"/>
        <v>50</v>
      </c>
      <c r="K31" s="58" t="s">
        <v>252</v>
      </c>
      <c r="L31" s="41" t="str">
        <f>IF([13]Control!B193="x","Preventivo",IF([13]Control!C193="x","Detectivo",IF([13]Control!D193="x","Correctivo","Error")))</f>
        <v>Correctivo</v>
      </c>
      <c r="M31" s="42">
        <f>IF(L31="Preventivo",VLOOKUP([13]Control!H193,'[13]Medicion Riesgo'!$A$59:$C$81,2),0)</f>
        <v>0</v>
      </c>
      <c r="N31" s="42">
        <f t="shared" si="1"/>
        <v>5</v>
      </c>
      <c r="O31" s="42">
        <f t="shared" si="2"/>
        <v>10</v>
      </c>
      <c r="P31" s="43">
        <f t="shared" si="4"/>
        <v>50</v>
      </c>
      <c r="Q31" s="78" t="s">
        <v>190</v>
      </c>
      <c r="R31" s="44" t="s">
        <v>253</v>
      </c>
      <c r="S31" s="44" t="s">
        <v>254</v>
      </c>
      <c r="T31" s="45" t="s">
        <v>503</v>
      </c>
      <c r="U31" s="46" t="s">
        <v>255</v>
      </c>
      <c r="V31" s="47" t="s">
        <v>256</v>
      </c>
      <c r="W31" s="47" t="s">
        <v>650</v>
      </c>
      <c r="X31" s="48">
        <v>0.1</v>
      </c>
    </row>
    <row r="32" spans="1:24" ht="90" x14ac:dyDescent="0.2">
      <c r="A32" s="566" t="s">
        <v>0</v>
      </c>
      <c r="B32" s="587" t="s">
        <v>257</v>
      </c>
      <c r="C32" s="566" t="s">
        <v>258</v>
      </c>
      <c r="D32" s="85" t="s">
        <v>259</v>
      </c>
      <c r="E32" s="35">
        <f>E31+1</f>
        <v>23</v>
      </c>
      <c r="F32" s="73" t="s">
        <v>260</v>
      </c>
      <c r="G32" s="73" t="s">
        <v>261</v>
      </c>
      <c r="H32" s="77">
        <v>3</v>
      </c>
      <c r="I32" s="38">
        <f>[13]Impacto!$C$773</f>
        <v>10</v>
      </c>
      <c r="J32" s="39">
        <f t="shared" si="0"/>
        <v>30</v>
      </c>
      <c r="K32" s="58" t="s">
        <v>262</v>
      </c>
      <c r="L32" s="41" t="str">
        <f>IF([13]Control!B202="x","Preventivo",IF([13]Control!C202="x","Detectivo",IF([13]Control!D202="x","Correctivo","Error")))</f>
        <v>Correctivo</v>
      </c>
      <c r="M32" s="42">
        <f>IF(L32="Preventivo",VLOOKUP([13]Control!H202,'[13]Medicion Riesgo'!$A$59:$C$81,2),0)</f>
        <v>0</v>
      </c>
      <c r="N32" s="42">
        <f t="shared" si="1"/>
        <v>3</v>
      </c>
      <c r="O32" s="42">
        <f t="shared" si="2"/>
        <v>10</v>
      </c>
      <c r="P32" s="43">
        <f t="shared" si="4"/>
        <v>30</v>
      </c>
      <c r="Q32" s="44" t="s">
        <v>263</v>
      </c>
      <c r="R32" s="44" t="s">
        <v>264</v>
      </c>
      <c r="S32" s="44" t="s">
        <v>265</v>
      </c>
      <c r="T32" s="45" t="s">
        <v>504</v>
      </c>
      <c r="U32" s="46" t="s">
        <v>266</v>
      </c>
      <c r="V32" s="47" t="s">
        <v>174</v>
      </c>
      <c r="W32" s="47" t="s">
        <v>536</v>
      </c>
      <c r="X32" s="48">
        <v>1</v>
      </c>
    </row>
    <row r="33" spans="1:24" ht="94.5" customHeight="1" x14ac:dyDescent="0.2">
      <c r="A33" s="566"/>
      <c r="B33" s="588"/>
      <c r="C33" s="566"/>
      <c r="D33" s="85" t="s">
        <v>267</v>
      </c>
      <c r="E33" s="35">
        <f>E32+1</f>
        <v>24</v>
      </c>
      <c r="F33" s="73" t="s">
        <v>268</v>
      </c>
      <c r="G33" s="58" t="s">
        <v>269</v>
      </c>
      <c r="H33" s="77">
        <v>2</v>
      </c>
      <c r="I33" s="38">
        <f>[13]Impacto!$C$807</f>
        <v>5</v>
      </c>
      <c r="J33" s="39">
        <f t="shared" si="0"/>
        <v>10</v>
      </c>
      <c r="K33" s="73" t="s">
        <v>270</v>
      </c>
      <c r="L33" s="41" t="str">
        <f>IF([13]Control!B211="x","Preventivo",IF([13]Control!C211="x","Detectivo",IF([13]Control!D211="x","Correctivo","Error")))</f>
        <v>Correctivo</v>
      </c>
      <c r="M33" s="42">
        <f>IF(L34="Preventivo",VLOOKUP([13]Control!H211,'[13]Medicion Riesgo'!$A$59:$C$81,2),0)</f>
        <v>0</v>
      </c>
      <c r="N33" s="42">
        <f t="shared" si="1"/>
        <v>2</v>
      </c>
      <c r="O33" s="42">
        <f t="shared" si="2"/>
        <v>5</v>
      </c>
      <c r="P33" s="43">
        <f t="shared" si="4"/>
        <v>10</v>
      </c>
      <c r="Q33" s="44" t="s">
        <v>263</v>
      </c>
      <c r="R33" s="44" t="s">
        <v>271</v>
      </c>
      <c r="S33" s="44" t="s">
        <v>272</v>
      </c>
      <c r="T33" s="45" t="s">
        <v>504</v>
      </c>
      <c r="U33" s="46" t="s">
        <v>273</v>
      </c>
      <c r="V33" s="47" t="s">
        <v>174</v>
      </c>
      <c r="W33" s="47" t="s">
        <v>537</v>
      </c>
      <c r="X33" s="48">
        <v>1</v>
      </c>
    </row>
    <row r="34" spans="1:24" ht="90" x14ac:dyDescent="0.2">
      <c r="A34" s="586" t="s">
        <v>274</v>
      </c>
      <c r="B34" s="587" t="s">
        <v>275</v>
      </c>
      <c r="C34" s="589" t="s">
        <v>276</v>
      </c>
      <c r="D34" s="63" t="s">
        <v>277</v>
      </c>
      <c r="E34" s="35">
        <f t="shared" si="3"/>
        <v>25</v>
      </c>
      <c r="F34" s="55" t="s">
        <v>278</v>
      </c>
      <c r="G34" s="55" t="s">
        <v>279</v>
      </c>
      <c r="H34" s="71">
        <v>5</v>
      </c>
      <c r="I34" s="38">
        <f>[13]Impacto!$C$841</f>
        <v>20</v>
      </c>
      <c r="J34" s="39">
        <f t="shared" si="0"/>
        <v>100</v>
      </c>
      <c r="K34" s="58" t="s">
        <v>280</v>
      </c>
      <c r="L34" s="41" t="str">
        <f>IF([13]Control!B220="x","Preventivo",IF([13]Control!C220="x","Detectivo",IF([13]Control!D220="x","Correctivo","Error")))</f>
        <v>Correctivo</v>
      </c>
      <c r="M34" s="42">
        <f>IF(L34="Preventivo",VLOOKUP([13]Control!H220,'[13]Medicion Riesgo'!$A$59:$C$81,2),0)</f>
        <v>0</v>
      </c>
      <c r="N34" s="42">
        <f t="shared" si="1"/>
        <v>5</v>
      </c>
      <c r="O34" s="42">
        <f t="shared" si="2"/>
        <v>20</v>
      </c>
      <c r="P34" s="43">
        <f t="shared" si="4"/>
        <v>100</v>
      </c>
      <c r="Q34" s="44" t="s">
        <v>281</v>
      </c>
      <c r="R34" s="44" t="s">
        <v>282</v>
      </c>
      <c r="S34" s="44" t="s">
        <v>283</v>
      </c>
      <c r="T34" s="45" t="s">
        <v>284</v>
      </c>
      <c r="U34" s="46" t="s">
        <v>282</v>
      </c>
      <c r="V34" s="47" t="s">
        <v>283</v>
      </c>
      <c r="W34" s="47" t="s">
        <v>648</v>
      </c>
      <c r="X34" s="48">
        <v>0</v>
      </c>
    </row>
    <row r="35" spans="1:24" ht="56.25" x14ac:dyDescent="0.2">
      <c r="A35" s="586"/>
      <c r="B35" s="588"/>
      <c r="C35" s="590"/>
      <c r="D35" s="63" t="s">
        <v>286</v>
      </c>
      <c r="E35" s="35">
        <f t="shared" si="3"/>
        <v>26</v>
      </c>
      <c r="F35" s="55" t="s">
        <v>287</v>
      </c>
      <c r="G35" s="55" t="s">
        <v>285</v>
      </c>
      <c r="H35" s="71">
        <v>5</v>
      </c>
      <c r="I35" s="38">
        <f>[13]Impacto!$C$909</f>
        <v>20</v>
      </c>
      <c r="J35" s="39">
        <f t="shared" si="0"/>
        <v>100</v>
      </c>
      <c r="K35" s="79" t="s">
        <v>288</v>
      </c>
      <c r="L35" s="41" t="str">
        <f>IF([13]Control!B238="x","Preventivo",IF([13]Control!C238="x","Detectivo",IF([13]Control!D238="x","Correctivo","Error")))</f>
        <v>Correctivo</v>
      </c>
      <c r="M35" s="42">
        <f>IF(L35="Preventivo",VLOOKUP([13]Control!H238,'[13]Medicion Riesgo'!$A$59:$C$81,2),0)</f>
        <v>0</v>
      </c>
      <c r="N35" s="42">
        <f t="shared" si="1"/>
        <v>5</v>
      </c>
      <c r="O35" s="42">
        <f t="shared" si="2"/>
        <v>20</v>
      </c>
      <c r="P35" s="43">
        <f t="shared" si="4"/>
        <v>100</v>
      </c>
      <c r="Q35" s="44" t="s">
        <v>284</v>
      </c>
      <c r="R35" s="44" t="s">
        <v>289</v>
      </c>
      <c r="S35" s="44" t="s">
        <v>290</v>
      </c>
      <c r="T35" s="45" t="s">
        <v>284</v>
      </c>
      <c r="U35" s="46" t="s">
        <v>653</v>
      </c>
      <c r="V35" s="47" t="s">
        <v>291</v>
      </c>
      <c r="W35" s="47" t="s">
        <v>648</v>
      </c>
      <c r="X35" s="48">
        <v>0</v>
      </c>
    </row>
    <row r="36" spans="1:24" ht="90" x14ac:dyDescent="0.2">
      <c r="A36" s="591" t="s">
        <v>292</v>
      </c>
      <c r="B36" s="587" t="s">
        <v>293</v>
      </c>
      <c r="C36" s="593" t="s">
        <v>194</v>
      </c>
      <c r="D36" s="40" t="s">
        <v>294</v>
      </c>
      <c r="E36" s="35">
        <f t="shared" si="3"/>
        <v>27</v>
      </c>
      <c r="F36" s="60" t="s">
        <v>295</v>
      </c>
      <c r="G36" s="60" t="s">
        <v>296</v>
      </c>
      <c r="H36" s="61">
        <v>2</v>
      </c>
      <c r="I36" s="38">
        <f>[13]Impacto!$C$943</f>
        <v>10</v>
      </c>
      <c r="J36" s="39">
        <f t="shared" si="0"/>
        <v>20</v>
      </c>
      <c r="K36" s="86" t="s">
        <v>297</v>
      </c>
      <c r="L36" s="41" t="str">
        <f>IF([13]Control!B247="x","Preventivo",IF([13]Control!C247="x","Detectivo",IF([13]Control!D247="x","Correctivo","Error")))</f>
        <v>Correctivo</v>
      </c>
      <c r="M36" s="42">
        <f>IF(L36="Preventivo",VLOOKUP([13]Control!H247,'[13]Medicion Riesgo'!$A$59:$C$81,2),0)</f>
        <v>0</v>
      </c>
      <c r="N36" s="42">
        <f t="shared" si="1"/>
        <v>2</v>
      </c>
      <c r="O36" s="42">
        <f t="shared" si="2"/>
        <v>10</v>
      </c>
      <c r="P36" s="43">
        <f t="shared" si="4"/>
        <v>20</v>
      </c>
      <c r="Q36" s="44" t="s">
        <v>298</v>
      </c>
      <c r="R36" s="44" t="s">
        <v>299</v>
      </c>
      <c r="S36" s="44" t="s">
        <v>300</v>
      </c>
      <c r="T36" s="45" t="s">
        <v>301</v>
      </c>
      <c r="U36" s="46" t="s">
        <v>302</v>
      </c>
      <c r="V36" s="47" t="s">
        <v>303</v>
      </c>
      <c r="W36" s="47" t="s">
        <v>648</v>
      </c>
      <c r="X36" s="48">
        <v>0</v>
      </c>
    </row>
    <row r="37" spans="1:24" ht="67.5" x14ac:dyDescent="0.2">
      <c r="A37" s="566"/>
      <c r="B37" s="592"/>
      <c r="C37" s="593"/>
      <c r="D37" s="40" t="s">
        <v>304</v>
      </c>
      <c r="E37" s="35">
        <f t="shared" si="3"/>
        <v>28</v>
      </c>
      <c r="F37" s="40" t="s">
        <v>305</v>
      </c>
      <c r="G37" s="40" t="s">
        <v>306</v>
      </c>
      <c r="H37" s="53">
        <v>2</v>
      </c>
      <c r="I37" s="38">
        <f>[13]Impacto!$C$977</f>
        <v>10</v>
      </c>
      <c r="J37" s="39">
        <f t="shared" si="0"/>
        <v>20</v>
      </c>
      <c r="K37" s="87" t="s">
        <v>307</v>
      </c>
      <c r="L37" s="41" t="str">
        <f>IF([13]Control!B256="x","Preventivo",IF([13]Control!C256="x","Detectivo",IF([13]Control!D256="x","Correctivo","Error")))</f>
        <v>Correctivo</v>
      </c>
      <c r="M37" s="42">
        <f>IF(L37="Preventivo",VLOOKUP([13]Control!H256,'[13]Medicion Riesgo'!$A$59:$C$81,2),0)</f>
        <v>0</v>
      </c>
      <c r="N37" s="42">
        <f t="shared" si="1"/>
        <v>2</v>
      </c>
      <c r="O37" s="42">
        <f t="shared" si="2"/>
        <v>10</v>
      </c>
      <c r="P37" s="43">
        <f t="shared" si="4"/>
        <v>20</v>
      </c>
      <c r="Q37" s="44" t="s">
        <v>308</v>
      </c>
      <c r="R37" s="44" t="s">
        <v>309</v>
      </c>
      <c r="S37" s="44" t="s">
        <v>310</v>
      </c>
      <c r="T37" s="45" t="s">
        <v>311</v>
      </c>
      <c r="U37" s="46" t="s">
        <v>312</v>
      </c>
      <c r="V37" s="47" t="s">
        <v>313</v>
      </c>
      <c r="W37" s="47" t="s">
        <v>648</v>
      </c>
      <c r="X37" s="48">
        <v>0</v>
      </c>
    </row>
    <row r="38" spans="1:24" ht="195" customHeight="1" x14ac:dyDescent="0.2">
      <c r="A38" s="572" t="s">
        <v>2</v>
      </c>
      <c r="B38" s="575" t="s">
        <v>314</v>
      </c>
      <c r="C38" s="578" t="s">
        <v>315</v>
      </c>
      <c r="D38" s="88" t="s">
        <v>316</v>
      </c>
      <c r="E38" s="35">
        <f t="shared" si="3"/>
        <v>29</v>
      </c>
      <c r="F38" s="40" t="s">
        <v>317</v>
      </c>
      <c r="G38" s="40" t="s">
        <v>318</v>
      </c>
      <c r="H38" s="53">
        <v>3</v>
      </c>
      <c r="I38" s="38">
        <f>[13]Impacto!$C$1011</f>
        <v>20</v>
      </c>
      <c r="J38" s="39">
        <f t="shared" si="0"/>
        <v>60</v>
      </c>
      <c r="K38" s="40" t="s">
        <v>319</v>
      </c>
      <c r="L38" s="41" t="str">
        <f>IF([13]Control!B265="x","Preventivo",IF([13]Control!C265="x","Detectivo",IF([13]Control!D265="x","Correctivo","Error")))</f>
        <v>Correctivo</v>
      </c>
      <c r="M38" s="42">
        <f>IF(L38="Preventivo",VLOOKUP([13]Control!H265,'[13]Medicion Riesgo'!$A$59:$C$81,2),0)</f>
        <v>0</v>
      </c>
      <c r="N38" s="42">
        <f t="shared" si="1"/>
        <v>3</v>
      </c>
      <c r="O38" s="42">
        <f t="shared" si="2"/>
        <v>20</v>
      </c>
      <c r="P38" s="43">
        <f t="shared" si="4"/>
        <v>60</v>
      </c>
      <c r="Q38" s="44" t="s">
        <v>190</v>
      </c>
      <c r="R38" s="44" t="s">
        <v>320</v>
      </c>
      <c r="S38" s="44" t="s">
        <v>321</v>
      </c>
      <c r="T38" s="45" t="s">
        <v>503</v>
      </c>
      <c r="U38" s="46" t="s">
        <v>322</v>
      </c>
      <c r="V38" s="47" t="s">
        <v>194</v>
      </c>
      <c r="W38" s="41" t="s">
        <v>522</v>
      </c>
      <c r="X38" s="48">
        <v>1</v>
      </c>
    </row>
    <row r="39" spans="1:24" ht="161.25" customHeight="1" x14ac:dyDescent="0.2">
      <c r="A39" s="573"/>
      <c r="B39" s="576"/>
      <c r="C39" s="579"/>
      <c r="D39" s="89" t="s">
        <v>323</v>
      </c>
      <c r="E39" s="35">
        <f t="shared" si="3"/>
        <v>30</v>
      </c>
      <c r="F39" s="40" t="s">
        <v>324</v>
      </c>
      <c r="G39" s="40" t="s">
        <v>325</v>
      </c>
      <c r="H39" s="53">
        <v>2</v>
      </c>
      <c r="I39" s="38">
        <f>[13]Impacto!$C$1045</f>
        <v>10</v>
      </c>
      <c r="J39" s="39">
        <f t="shared" si="0"/>
        <v>20</v>
      </c>
      <c r="K39" s="40" t="s">
        <v>326</v>
      </c>
      <c r="L39" s="41" t="str">
        <f>IF([13]Control!B274="x","Preventivo",IF([13]Control!C274="x","Detectivo",IF([13]Control!D274="x","Correctivo","Error")))</f>
        <v>Correctivo</v>
      </c>
      <c r="M39" s="42">
        <f>IF(L39="Preventivo",VLOOKUP([13]Control!H274,'[13]Medicion Riesgo'!$A$59:$C$81,2),0)</f>
        <v>0</v>
      </c>
      <c r="N39" s="42">
        <f t="shared" si="1"/>
        <v>2</v>
      </c>
      <c r="O39" s="42">
        <f t="shared" si="2"/>
        <v>10</v>
      </c>
      <c r="P39" s="43">
        <f t="shared" si="4"/>
        <v>20</v>
      </c>
      <c r="Q39" s="44" t="s">
        <v>190</v>
      </c>
      <c r="R39" s="44" t="s">
        <v>327</v>
      </c>
      <c r="S39" s="44" t="s">
        <v>328</v>
      </c>
      <c r="T39" s="45" t="s">
        <v>503</v>
      </c>
      <c r="U39" s="46" t="s">
        <v>329</v>
      </c>
      <c r="V39" s="47" t="s">
        <v>194</v>
      </c>
      <c r="W39" s="47" t="s">
        <v>523</v>
      </c>
      <c r="X39" s="48">
        <v>1</v>
      </c>
    </row>
    <row r="40" spans="1:24" ht="107.25" customHeight="1" x14ac:dyDescent="0.2">
      <c r="A40" s="573"/>
      <c r="B40" s="576"/>
      <c r="C40" s="579"/>
      <c r="D40" s="63" t="s">
        <v>330</v>
      </c>
      <c r="E40" s="35">
        <f t="shared" si="3"/>
        <v>31</v>
      </c>
      <c r="F40" s="55" t="s">
        <v>331</v>
      </c>
      <c r="G40" s="58" t="s">
        <v>332</v>
      </c>
      <c r="H40" s="71">
        <v>1</v>
      </c>
      <c r="I40" s="38">
        <f>[13]Impacto!$C$1079</f>
        <v>20</v>
      </c>
      <c r="J40" s="39">
        <f t="shared" si="0"/>
        <v>20</v>
      </c>
      <c r="K40" s="58" t="s">
        <v>333</v>
      </c>
      <c r="L40" s="41" t="str">
        <f>IF([13]Control!B283="x","Preventivo",IF([13]Control!C283="x","Detectivo",IF([13]Control!D283="x","Correctivo","Error")))</f>
        <v>Correctivo</v>
      </c>
      <c r="M40" s="42">
        <f>IF(L40="Preventivo",VLOOKUP([13]Control!H283,'[13]Medicion Riesgo'!$A$59:$C$81,2),0)</f>
        <v>0</v>
      </c>
      <c r="N40" s="42">
        <f t="shared" si="1"/>
        <v>1</v>
      </c>
      <c r="O40" s="42">
        <f t="shared" si="2"/>
        <v>20</v>
      </c>
      <c r="P40" s="43">
        <f t="shared" si="4"/>
        <v>20</v>
      </c>
      <c r="Q40" s="44" t="s">
        <v>190</v>
      </c>
      <c r="R40" s="44" t="s">
        <v>334</v>
      </c>
      <c r="S40" s="44" t="s">
        <v>335</v>
      </c>
      <c r="T40" s="45" t="s">
        <v>503</v>
      </c>
      <c r="U40" s="46" t="s">
        <v>336</v>
      </c>
      <c r="V40" s="47" t="s">
        <v>194</v>
      </c>
      <c r="W40" s="47" t="s">
        <v>525</v>
      </c>
      <c r="X40" s="48">
        <v>1</v>
      </c>
    </row>
    <row r="41" spans="1:24" ht="111" customHeight="1" x14ac:dyDescent="0.2">
      <c r="A41" s="574"/>
      <c r="B41" s="577"/>
      <c r="C41" s="580"/>
      <c r="D41" s="73" t="s">
        <v>337</v>
      </c>
      <c r="E41" s="35">
        <f t="shared" si="3"/>
        <v>32</v>
      </c>
      <c r="F41" s="63" t="s">
        <v>338</v>
      </c>
      <c r="G41" s="60" t="s">
        <v>339</v>
      </c>
      <c r="H41" s="64">
        <v>1</v>
      </c>
      <c r="I41" s="38">
        <f>[13]Impacto!$C$1113</f>
        <v>10</v>
      </c>
      <c r="J41" s="39">
        <f t="shared" si="0"/>
        <v>10</v>
      </c>
      <c r="K41" s="58" t="s">
        <v>340</v>
      </c>
      <c r="L41" s="41" t="str">
        <f>IF([13]Control!B292="x","Preventivo",IF([13]Control!C292="x","Detectivo",IF([13]Control!D292="x","Correctivo","Error")))</f>
        <v>Correctivo</v>
      </c>
      <c r="M41" s="42">
        <f>IF(L41="Preventivo",VLOOKUP([13]Control!H292,'[13]Medicion Riesgo'!$A$59:$C$81,2),0)</f>
        <v>0</v>
      </c>
      <c r="N41" s="42">
        <f t="shared" si="1"/>
        <v>1</v>
      </c>
      <c r="O41" s="42">
        <f t="shared" si="2"/>
        <v>10</v>
      </c>
      <c r="P41" s="43">
        <f t="shared" si="4"/>
        <v>10</v>
      </c>
      <c r="Q41" s="44" t="s">
        <v>190</v>
      </c>
      <c r="R41" s="44" t="s">
        <v>341</v>
      </c>
      <c r="S41" s="44" t="s">
        <v>342</v>
      </c>
      <c r="T41" s="45" t="s">
        <v>503</v>
      </c>
      <c r="U41" s="46" t="s">
        <v>343</v>
      </c>
      <c r="V41" s="47" t="s">
        <v>194</v>
      </c>
      <c r="W41" s="47" t="s">
        <v>524</v>
      </c>
      <c r="X41" s="48">
        <v>1</v>
      </c>
    </row>
    <row r="42" spans="1:24" ht="126" customHeight="1" x14ac:dyDescent="0.2">
      <c r="A42" s="90" t="s">
        <v>344</v>
      </c>
      <c r="B42" s="91" t="s">
        <v>345</v>
      </c>
      <c r="C42" s="92" t="s">
        <v>346</v>
      </c>
      <c r="D42" s="73" t="s">
        <v>347</v>
      </c>
      <c r="E42" s="35">
        <f t="shared" si="3"/>
        <v>33</v>
      </c>
      <c r="F42" s="79" t="s">
        <v>348</v>
      </c>
      <c r="G42" s="93" t="s">
        <v>349</v>
      </c>
      <c r="H42" s="81">
        <v>1</v>
      </c>
      <c r="I42" s="38">
        <f>[13]Impacto!$C$1147</f>
        <v>5</v>
      </c>
      <c r="J42" s="39">
        <f t="shared" si="0"/>
        <v>5</v>
      </c>
      <c r="K42" s="94" t="s">
        <v>350</v>
      </c>
      <c r="L42" s="41" t="str">
        <f>IF([13]Control!B301="x","Preventivo",IF([13]Control!C301="x","Detectivo",IF([13]Control!D301="x","Correctivo","Error")))</f>
        <v>Correctivo</v>
      </c>
      <c r="M42" s="42">
        <f>IF(L42="Preventivo",VLOOKUP([13]Control!H301,'[13]Medicion Riesgo'!$A$59:$C$81,2),0)</f>
        <v>0</v>
      </c>
      <c r="N42" s="42">
        <f t="shared" si="1"/>
        <v>1</v>
      </c>
      <c r="O42" s="42">
        <f t="shared" si="2"/>
        <v>5</v>
      </c>
      <c r="P42" s="43">
        <f t="shared" si="4"/>
        <v>5</v>
      </c>
      <c r="Q42" s="44" t="s">
        <v>351</v>
      </c>
      <c r="R42" s="44" t="s">
        <v>352</v>
      </c>
      <c r="S42" s="44" t="s">
        <v>353</v>
      </c>
      <c r="T42" s="45" t="s">
        <v>351</v>
      </c>
      <c r="U42" s="41" t="s">
        <v>354</v>
      </c>
      <c r="V42" s="47" t="s">
        <v>355</v>
      </c>
      <c r="W42" s="47" t="s">
        <v>516</v>
      </c>
      <c r="X42" s="48">
        <v>1</v>
      </c>
    </row>
    <row r="43" spans="1:24" ht="101.25" x14ac:dyDescent="0.2">
      <c r="A43" s="581" t="s">
        <v>1</v>
      </c>
      <c r="B43" s="582" t="s">
        <v>356</v>
      </c>
      <c r="C43" s="572" t="s">
        <v>357</v>
      </c>
      <c r="D43" s="95" t="s">
        <v>358</v>
      </c>
      <c r="E43" s="35">
        <f t="shared" si="3"/>
        <v>34</v>
      </c>
      <c r="F43" s="96" t="s">
        <v>359</v>
      </c>
      <c r="G43" s="96" t="s">
        <v>360</v>
      </c>
      <c r="H43" s="97">
        <v>5</v>
      </c>
      <c r="I43" s="38">
        <f>[13]Impacto!$C$1181</f>
        <v>10</v>
      </c>
      <c r="J43" s="39">
        <f t="shared" si="0"/>
        <v>50</v>
      </c>
      <c r="K43" s="98" t="s">
        <v>361</v>
      </c>
      <c r="L43" s="41" t="str">
        <f>IF([13]Control!B310="x","Preventivo",IF([13]Control!C310="x","Detectivo",IF([13]Control!D310="x","Correctivo","Error")))</f>
        <v>Correctivo</v>
      </c>
      <c r="M43" s="42">
        <f>IF(L43="Preventivo",VLOOKUP([13]Control!H310,'[13]Medicion Riesgo'!$A$59:$C$81,2),0)</f>
        <v>0</v>
      </c>
      <c r="N43" s="42">
        <f t="shared" si="1"/>
        <v>5</v>
      </c>
      <c r="O43" s="42">
        <f t="shared" si="2"/>
        <v>10</v>
      </c>
      <c r="P43" s="43">
        <f t="shared" si="4"/>
        <v>50</v>
      </c>
      <c r="Q43" s="44" t="s">
        <v>362</v>
      </c>
      <c r="R43" s="44" t="s">
        <v>363</v>
      </c>
      <c r="S43" s="44" t="s">
        <v>364</v>
      </c>
      <c r="T43" s="45" t="s">
        <v>168</v>
      </c>
      <c r="U43" s="46" t="s">
        <v>365</v>
      </c>
      <c r="V43" s="47" t="s">
        <v>366</v>
      </c>
      <c r="W43" s="47" t="s">
        <v>526</v>
      </c>
      <c r="X43" s="48">
        <v>0</v>
      </c>
    </row>
    <row r="44" spans="1:24" ht="78.75" x14ac:dyDescent="0.2">
      <c r="A44" s="567"/>
      <c r="B44" s="583"/>
      <c r="C44" s="585"/>
      <c r="D44" s="99" t="s">
        <v>367</v>
      </c>
      <c r="E44" s="35">
        <f t="shared" si="3"/>
        <v>35</v>
      </c>
      <c r="F44" s="100" t="s">
        <v>368</v>
      </c>
      <c r="G44" s="96" t="s">
        <v>369</v>
      </c>
      <c r="H44" s="97">
        <v>5</v>
      </c>
      <c r="I44" s="38">
        <f>[13]Impacto!$C$1215</f>
        <v>10</v>
      </c>
      <c r="J44" s="39">
        <f t="shared" si="0"/>
        <v>50</v>
      </c>
      <c r="K44" s="98" t="s">
        <v>370</v>
      </c>
      <c r="L44" s="41" t="str">
        <f>IF([13]Control!B319="x","Preventivo",IF([13]Control!C319="x","Detectivo",IF([13]Control!D319="x","Correctivo","Error")))</f>
        <v>Correctivo</v>
      </c>
      <c r="M44" s="42">
        <f>IF(L44="Preventivo",VLOOKUP([13]Control!H319,'[13]Medicion Riesgo'!$A$59:$C$81,2),0)</f>
        <v>0</v>
      </c>
      <c r="N44" s="42">
        <f t="shared" si="1"/>
        <v>5</v>
      </c>
      <c r="O44" s="42">
        <f t="shared" si="2"/>
        <v>10</v>
      </c>
      <c r="P44" s="43">
        <f t="shared" si="4"/>
        <v>50</v>
      </c>
      <c r="Q44" s="44" t="s">
        <v>371</v>
      </c>
      <c r="R44" s="44" t="s">
        <v>372</v>
      </c>
      <c r="S44" s="44" t="s">
        <v>364</v>
      </c>
      <c r="T44" s="45" t="s">
        <v>373</v>
      </c>
      <c r="U44" s="46" t="s">
        <v>374</v>
      </c>
      <c r="V44" s="47" t="s">
        <v>375</v>
      </c>
      <c r="W44" s="47" t="s">
        <v>527</v>
      </c>
      <c r="X44" s="48">
        <v>1</v>
      </c>
    </row>
    <row r="45" spans="1:24" ht="81" customHeight="1" x14ac:dyDescent="0.2">
      <c r="A45" s="567"/>
      <c r="B45" s="583"/>
      <c r="C45" s="585"/>
      <c r="D45" s="99" t="s">
        <v>376</v>
      </c>
      <c r="E45" s="35">
        <f t="shared" si="3"/>
        <v>36</v>
      </c>
      <c r="F45" s="100" t="s">
        <v>377</v>
      </c>
      <c r="G45" s="96" t="s">
        <v>378</v>
      </c>
      <c r="H45" s="97">
        <v>5</v>
      </c>
      <c r="I45" s="38">
        <f>[13]Impacto!$C$1249</f>
        <v>10</v>
      </c>
      <c r="J45" s="39">
        <f t="shared" si="0"/>
        <v>50</v>
      </c>
      <c r="K45" s="101" t="s">
        <v>379</v>
      </c>
      <c r="L45" s="41" t="str">
        <f>IF([13]Control!B328="x","Preventivo",IF([13]Control!C328="x","Detectivo",IF([13]Control!D328="x","Correctivo","Error")))</f>
        <v>Correctivo</v>
      </c>
      <c r="M45" s="42">
        <f>IF(L45="Preventivo",VLOOKUP([13]Control!H328,'[13]Medicion Riesgo'!$A$59:$C$81,2),0)</f>
        <v>0</v>
      </c>
      <c r="N45" s="42">
        <f t="shared" si="1"/>
        <v>5</v>
      </c>
      <c r="O45" s="42">
        <f t="shared" si="2"/>
        <v>10</v>
      </c>
      <c r="P45" s="43">
        <f t="shared" si="4"/>
        <v>50</v>
      </c>
      <c r="Q45" s="44" t="s">
        <v>311</v>
      </c>
      <c r="R45" s="44" t="s">
        <v>380</v>
      </c>
      <c r="S45" s="44" t="s">
        <v>381</v>
      </c>
      <c r="T45" s="45" t="s">
        <v>311</v>
      </c>
      <c r="U45" s="46" t="s">
        <v>382</v>
      </c>
      <c r="V45" s="47" t="s">
        <v>383</v>
      </c>
      <c r="W45" s="47" t="s">
        <v>528</v>
      </c>
      <c r="X45" s="48">
        <v>1</v>
      </c>
    </row>
    <row r="46" spans="1:24" ht="122.25" customHeight="1" x14ac:dyDescent="0.2">
      <c r="A46" s="567"/>
      <c r="B46" s="584"/>
      <c r="C46" s="585"/>
      <c r="D46" s="95" t="s">
        <v>384</v>
      </c>
      <c r="E46" s="35">
        <f t="shared" si="3"/>
        <v>37</v>
      </c>
      <c r="F46" s="96" t="s">
        <v>385</v>
      </c>
      <c r="G46" s="96" t="s">
        <v>386</v>
      </c>
      <c r="H46" s="97">
        <v>2</v>
      </c>
      <c r="I46" s="38">
        <f>[13]Impacto!$C$1283</f>
        <v>10</v>
      </c>
      <c r="J46" s="39">
        <f t="shared" si="0"/>
        <v>20</v>
      </c>
      <c r="K46" s="98" t="s">
        <v>387</v>
      </c>
      <c r="L46" s="41" t="str">
        <f>IF([13]Control!B337="x","Preventivo",IF([13]Control!C337="x","Detectivo",IF([13]Control!D337="x","Correctivo","Error")))</f>
        <v>Correctivo</v>
      </c>
      <c r="M46" s="42">
        <f>IF(L46="Preventivo",VLOOKUP([13]Control!H337,'[13]Medicion Riesgo'!$A$59:$C$81,2),0)</f>
        <v>0</v>
      </c>
      <c r="N46" s="42">
        <f t="shared" si="1"/>
        <v>2</v>
      </c>
      <c r="O46" s="42">
        <f t="shared" si="2"/>
        <v>10</v>
      </c>
      <c r="P46" s="43">
        <f t="shared" si="4"/>
        <v>20</v>
      </c>
      <c r="Q46" s="73" t="s">
        <v>78</v>
      </c>
      <c r="R46" s="58" t="s">
        <v>388</v>
      </c>
      <c r="S46" s="73" t="s">
        <v>389</v>
      </c>
      <c r="T46" s="45" t="s">
        <v>92</v>
      </c>
      <c r="U46" s="102" t="s">
        <v>390</v>
      </c>
      <c r="V46" s="103" t="s">
        <v>391</v>
      </c>
      <c r="W46" s="103" t="s">
        <v>529</v>
      </c>
      <c r="X46" s="48">
        <v>1</v>
      </c>
    </row>
    <row r="47" spans="1:24" ht="129.75" customHeight="1" x14ac:dyDescent="0.2">
      <c r="A47" s="561" t="s">
        <v>392</v>
      </c>
      <c r="B47" s="563" t="s">
        <v>393</v>
      </c>
      <c r="C47" s="566" t="s">
        <v>394</v>
      </c>
      <c r="D47" s="58" t="s">
        <v>395</v>
      </c>
      <c r="E47" s="35">
        <f t="shared" si="3"/>
        <v>38</v>
      </c>
      <c r="F47" s="88" t="s">
        <v>396</v>
      </c>
      <c r="G47" s="88" t="s">
        <v>397</v>
      </c>
      <c r="H47" s="104">
        <v>1</v>
      </c>
      <c r="I47" s="38">
        <f>[13]Impacto!$C$1317</f>
        <v>5</v>
      </c>
      <c r="J47" s="39">
        <f t="shared" si="0"/>
        <v>5</v>
      </c>
      <c r="K47" s="73" t="s">
        <v>398</v>
      </c>
      <c r="L47" s="41" t="str">
        <f>IF([13]Control!B346="x","Preventivo",IF([13]Control!C346="x","Detectivo",IF([13]Control!D346="x","Correctivo","Error")))</f>
        <v>Correctivo</v>
      </c>
      <c r="M47" s="42">
        <f>IF(L47="Preventivo",VLOOKUP([13]Control!H346,'[13]Medicion Riesgo'!$A$59:$C$81,2),0)</f>
        <v>0</v>
      </c>
      <c r="N47" s="42">
        <f t="shared" si="1"/>
        <v>1</v>
      </c>
      <c r="O47" s="42">
        <f t="shared" si="2"/>
        <v>5</v>
      </c>
      <c r="P47" s="43">
        <f t="shared" si="4"/>
        <v>5</v>
      </c>
      <c r="Q47" s="73" t="s">
        <v>92</v>
      </c>
      <c r="R47" s="58" t="s">
        <v>399</v>
      </c>
      <c r="S47" s="73" t="s">
        <v>400</v>
      </c>
      <c r="T47" s="45" t="s">
        <v>505</v>
      </c>
      <c r="U47" s="105" t="s">
        <v>401</v>
      </c>
      <c r="V47" s="47" t="s">
        <v>402</v>
      </c>
      <c r="W47" s="130" t="s">
        <v>519</v>
      </c>
      <c r="X47" s="48">
        <v>1</v>
      </c>
    </row>
    <row r="48" spans="1:24" ht="75" customHeight="1" x14ac:dyDescent="0.2">
      <c r="A48" s="561"/>
      <c r="B48" s="564"/>
      <c r="C48" s="566"/>
      <c r="D48" s="73" t="s">
        <v>403</v>
      </c>
      <c r="E48" s="35">
        <f t="shared" si="3"/>
        <v>39</v>
      </c>
      <c r="F48" s="88" t="s">
        <v>404</v>
      </c>
      <c r="G48" s="88" t="s">
        <v>405</v>
      </c>
      <c r="H48" s="104">
        <v>1</v>
      </c>
      <c r="I48" s="38">
        <f>[13]Impacto!$C$1351</f>
        <v>10</v>
      </c>
      <c r="J48" s="39">
        <f t="shared" si="0"/>
        <v>10</v>
      </c>
      <c r="K48" s="73" t="s">
        <v>406</v>
      </c>
      <c r="L48" s="41" t="str">
        <f>IF([13]Control!B355="x","Preventivo",IF([13]Control!C355="x","Detectivo",IF([13]Control!D355="x","Correctivo","Error")))</f>
        <v>Correctivo</v>
      </c>
      <c r="M48" s="42">
        <f>IF(L48="Preventivo",VLOOKUP([13]Control!H355,'[13]Medicion Riesgo'!$A$59:$C$81,2),0)</f>
        <v>0</v>
      </c>
      <c r="N48" s="42">
        <f t="shared" si="1"/>
        <v>1</v>
      </c>
      <c r="O48" s="42">
        <f t="shared" si="2"/>
        <v>10</v>
      </c>
      <c r="P48" s="43">
        <f t="shared" si="4"/>
        <v>10</v>
      </c>
      <c r="Q48" s="73" t="s">
        <v>92</v>
      </c>
      <c r="R48" s="73" t="s">
        <v>407</v>
      </c>
      <c r="S48" s="73" t="s">
        <v>408</v>
      </c>
      <c r="T48" s="45" t="s">
        <v>505</v>
      </c>
      <c r="U48" s="102" t="s">
        <v>409</v>
      </c>
      <c r="V48" s="47" t="s">
        <v>402</v>
      </c>
      <c r="W48" s="131" t="s">
        <v>520</v>
      </c>
      <c r="X48" s="48">
        <v>1</v>
      </c>
    </row>
    <row r="49" spans="1:24" ht="67.5" x14ac:dyDescent="0.2">
      <c r="A49" s="562"/>
      <c r="B49" s="565"/>
      <c r="C49" s="567"/>
      <c r="D49" s="73" t="s">
        <v>410</v>
      </c>
      <c r="E49" s="35">
        <f t="shared" si="3"/>
        <v>40</v>
      </c>
      <c r="F49" s="88" t="s">
        <v>411</v>
      </c>
      <c r="G49" s="88" t="s">
        <v>405</v>
      </c>
      <c r="H49" s="104">
        <v>1</v>
      </c>
      <c r="I49" s="38">
        <f>[13]Impacto!$C$1385</f>
        <v>10</v>
      </c>
      <c r="J49" s="39">
        <f t="shared" si="0"/>
        <v>10</v>
      </c>
      <c r="K49" s="73" t="s">
        <v>412</v>
      </c>
      <c r="L49" s="41" t="str">
        <f>IF([13]Control!B364="x","Preventivo",IF([13]Control!C364="x","Detectivo",IF([13]Control!D364="x","Correctivo","Error")))</f>
        <v>Correctivo</v>
      </c>
      <c r="M49" s="42">
        <f>IF(L49="Preventivo",VLOOKUP([13]Control!H364,'[13]Medicion Riesgo'!$A$59:$C$81,2),0)</f>
        <v>0</v>
      </c>
      <c r="N49" s="42">
        <f t="shared" si="1"/>
        <v>1</v>
      </c>
      <c r="O49" s="42">
        <f t="shared" si="2"/>
        <v>10</v>
      </c>
      <c r="P49" s="43">
        <f t="shared" si="4"/>
        <v>10</v>
      </c>
      <c r="Q49" s="44" t="s">
        <v>92</v>
      </c>
      <c r="R49" s="44" t="s">
        <v>413</v>
      </c>
      <c r="S49" s="44" t="s">
        <v>414</v>
      </c>
      <c r="T49" s="45" t="s">
        <v>505</v>
      </c>
      <c r="U49" s="46" t="s">
        <v>415</v>
      </c>
      <c r="V49" s="47" t="s">
        <v>402</v>
      </c>
      <c r="W49" s="132" t="s">
        <v>521</v>
      </c>
      <c r="X49" s="48">
        <v>1</v>
      </c>
    </row>
    <row r="50" spans="1:24" ht="12" x14ac:dyDescent="0.2">
      <c r="A50" s="106">
        <f>COUNTA(A10:A49)</f>
        <v>14</v>
      </c>
      <c r="B50" s="107"/>
      <c r="E50" s="106">
        <f>COUNT(E10:E49)</f>
        <v>40</v>
      </c>
      <c r="G50" s="568" t="s">
        <v>416</v>
      </c>
      <c r="H50" s="569"/>
      <c r="I50" s="39" t="str">
        <f>IF(AND(J50&gt;=60,J50&lt;=100),"EXTREMA",IF(AND(J50&gt;=30,J50&lt;=59),"ALTA",IF(AND(J50&gt;=20,J50&lt;=29),"MODERADA",IF(AND(J50&gt;=1,J50&lt;=19),"BAJA","ERROR"))))</f>
        <v>ALTA</v>
      </c>
      <c r="J50" s="108">
        <f>ROUND(AVERAGE(J10:J49),0)</f>
        <v>39</v>
      </c>
      <c r="M50" s="42">
        <f>IF(L49="Preventivo",VLOOKUP([13]Control!#REF!,'[13]Medicion Riesgo'!$A$59:$C$81,2),0)</f>
        <v>0</v>
      </c>
      <c r="N50" s="109"/>
      <c r="O50" s="43" t="str">
        <f>IF(AND(P50&gt;=60,P50&lt;=100),"EXTREMA",IF(AND(P50&gt;=30,P50&lt;=59),"ALTA",IF(AND(P50&gt;=20,P50&lt;=29),"MODERADA",IF(AND(P50&gt;=1,P50&lt;=19),"BAJA","ERROR"))))</f>
        <v>ALTA</v>
      </c>
      <c r="P50" s="110">
        <f>ROUND(AVERAGE(P10:P49),0)</f>
        <v>39</v>
      </c>
      <c r="X50" s="129">
        <f>SUM(X10:X49)/40</f>
        <v>0.72750000000000004</v>
      </c>
    </row>
    <row r="52" spans="1:24" x14ac:dyDescent="0.2">
      <c r="B52" s="111"/>
      <c r="E52" s="112"/>
      <c r="T52" s="26"/>
    </row>
    <row r="53" spans="1:24" x14ac:dyDescent="0.2">
      <c r="C53" s="113"/>
      <c r="G53" s="113"/>
      <c r="H53" s="113"/>
      <c r="I53" s="113"/>
      <c r="J53" s="113"/>
      <c r="K53" s="113"/>
      <c r="L53" s="113"/>
      <c r="M53" s="113"/>
      <c r="N53" s="113"/>
      <c r="O53" s="113"/>
      <c r="P53" s="113"/>
      <c r="Q53" s="113"/>
      <c r="R53" s="113"/>
      <c r="S53" s="113"/>
      <c r="T53" s="26"/>
    </row>
    <row r="54" spans="1:24" x14ac:dyDescent="0.2">
      <c r="T54" s="26"/>
    </row>
  </sheetData>
  <mergeCells count="57">
    <mergeCell ref="A1:C3"/>
    <mergeCell ref="D1:U1"/>
    <mergeCell ref="V1:X1"/>
    <mergeCell ref="D2:U3"/>
    <mergeCell ref="V2:X2"/>
    <mergeCell ref="V3:X3"/>
    <mergeCell ref="A5:X5"/>
    <mergeCell ref="A6:G7"/>
    <mergeCell ref="H6:S6"/>
    <mergeCell ref="T6:X7"/>
    <mergeCell ref="H7:J7"/>
    <mergeCell ref="K7:S7"/>
    <mergeCell ref="A15:A16"/>
    <mergeCell ref="B15:B16"/>
    <mergeCell ref="C15:C16"/>
    <mergeCell ref="K8:K9"/>
    <mergeCell ref="L8:L9"/>
    <mergeCell ref="A8:A9"/>
    <mergeCell ref="B8:B9"/>
    <mergeCell ref="C8:C9"/>
    <mergeCell ref="D8:F8"/>
    <mergeCell ref="G8:G9"/>
    <mergeCell ref="H8:J8"/>
    <mergeCell ref="U8:U9"/>
    <mergeCell ref="V8:V9"/>
    <mergeCell ref="X8:X9"/>
    <mergeCell ref="A10:A13"/>
    <mergeCell ref="C10:C13"/>
    <mergeCell ref="M8:M9"/>
    <mergeCell ref="N8:P8"/>
    <mergeCell ref="Q8:S8"/>
    <mergeCell ref="T8:T9"/>
    <mergeCell ref="C36:C37"/>
    <mergeCell ref="A17:A20"/>
    <mergeCell ref="C17:C20"/>
    <mergeCell ref="A23:A31"/>
    <mergeCell ref="B23:B31"/>
    <mergeCell ref="C23:C31"/>
    <mergeCell ref="A32:A33"/>
    <mergeCell ref="B32:B33"/>
    <mergeCell ref="C32:C33"/>
    <mergeCell ref="A47:A49"/>
    <mergeCell ref="B47:B49"/>
    <mergeCell ref="C47:C49"/>
    <mergeCell ref="G50:H50"/>
    <mergeCell ref="W8:W9"/>
    <mergeCell ref="A38:A41"/>
    <mergeCell ref="B38:B41"/>
    <mergeCell ref="C38:C41"/>
    <mergeCell ref="A43:A46"/>
    <mergeCell ref="B43:B46"/>
    <mergeCell ref="C43:C46"/>
    <mergeCell ref="A34:A35"/>
    <mergeCell ref="B34:B35"/>
    <mergeCell ref="C34:C35"/>
    <mergeCell ref="A36:A37"/>
    <mergeCell ref="B36:B37"/>
  </mergeCells>
  <conditionalFormatting sqref="J45:J49 J10:J42 P11:P49">
    <cfRule type="cellIs" dxfId="34" priority="32" operator="between">
      <formula>1</formula>
      <formula>19</formula>
    </cfRule>
    <cfRule type="cellIs" dxfId="33" priority="33" operator="between">
      <formula>20</formula>
      <formula>29</formula>
    </cfRule>
    <cfRule type="cellIs" dxfId="32" priority="34" operator="between">
      <formula>30</formula>
      <formula>59</formula>
    </cfRule>
    <cfRule type="cellIs" dxfId="31" priority="35" operator="between">
      <formula>60</formula>
      <formula>100</formula>
    </cfRule>
  </conditionalFormatting>
  <conditionalFormatting sqref="J50">
    <cfRule type="cellIs" dxfId="30" priority="28" operator="between">
      <formula>1</formula>
      <formula>19</formula>
    </cfRule>
    <cfRule type="cellIs" dxfId="29" priority="29" operator="between">
      <formula>20</formula>
      <formula>29</formula>
    </cfRule>
    <cfRule type="cellIs" dxfId="28" priority="30" operator="between">
      <formula>30</formula>
      <formula>59</formula>
    </cfRule>
    <cfRule type="cellIs" dxfId="27" priority="31" operator="between">
      <formula>60</formula>
      <formula>100</formula>
    </cfRule>
  </conditionalFormatting>
  <conditionalFormatting sqref="N50">
    <cfRule type="cellIs" dxfId="26" priority="27" operator="equal">
      <formula>"Catastrofico"</formula>
    </cfRule>
  </conditionalFormatting>
  <conditionalFormatting sqref="N50">
    <cfRule type="cellIs" dxfId="25" priority="25" operator="equal">
      <formula>"Mayor"</formula>
    </cfRule>
    <cfRule type="cellIs" dxfId="24" priority="26" operator="equal">
      <formula>"Moderado"</formula>
    </cfRule>
  </conditionalFormatting>
  <conditionalFormatting sqref="I50">
    <cfRule type="cellIs" dxfId="23" priority="23" operator="equal">
      <formula>"ALTA"</formula>
    </cfRule>
    <cfRule type="cellIs" dxfId="22" priority="24" operator="equal">
      <formula>"EXTREMA"</formula>
    </cfRule>
  </conditionalFormatting>
  <conditionalFormatting sqref="O50">
    <cfRule type="cellIs" dxfId="21" priority="17" operator="equal">
      <formula>"ALTA"</formula>
    </cfRule>
    <cfRule type="cellIs" dxfId="20" priority="18" operator="equal">
      <formula>"EXTREMA"</formula>
    </cfRule>
  </conditionalFormatting>
  <conditionalFormatting sqref="P50">
    <cfRule type="cellIs" dxfId="19" priority="19" operator="between">
      <formula>1</formula>
      <formula>19</formula>
    </cfRule>
    <cfRule type="cellIs" dxfId="18" priority="20" operator="between">
      <formula>20</formula>
      <formula>29</formula>
    </cfRule>
    <cfRule type="cellIs" dxfId="17" priority="21" operator="between">
      <formula>30</formula>
      <formula>59</formula>
    </cfRule>
    <cfRule type="cellIs" dxfId="16" priority="22" operator="between">
      <formula>60</formula>
      <formula>100</formula>
    </cfRule>
  </conditionalFormatting>
  <conditionalFormatting sqref="P10">
    <cfRule type="cellIs" dxfId="15" priority="13" operator="between">
      <formula>1</formula>
      <formula>19</formula>
    </cfRule>
    <cfRule type="cellIs" dxfId="14" priority="14" operator="between">
      <formula>20</formula>
      <formula>29</formula>
    </cfRule>
    <cfRule type="cellIs" dxfId="13" priority="15" operator="between">
      <formula>30</formula>
      <formula>59</formula>
    </cfRule>
    <cfRule type="cellIs" dxfId="12" priority="16" operator="between">
      <formula>60</formula>
      <formula>100</formula>
    </cfRule>
  </conditionalFormatting>
  <conditionalFormatting sqref="P46:P48">
    <cfRule type="cellIs" dxfId="11" priority="9" operator="between">
      <formula>1</formula>
      <formula>19</formula>
    </cfRule>
    <cfRule type="cellIs" dxfId="10" priority="10" operator="between">
      <formula>20</formula>
      <formula>29</formula>
    </cfRule>
    <cfRule type="cellIs" dxfId="9" priority="11" operator="between">
      <formula>30</formula>
      <formula>59</formula>
    </cfRule>
    <cfRule type="cellIs" dxfId="8" priority="12" operator="between">
      <formula>60</formula>
      <formula>100</formula>
    </cfRule>
  </conditionalFormatting>
  <conditionalFormatting sqref="J44">
    <cfRule type="cellIs" dxfId="7" priority="5" operator="between">
      <formula>1</formula>
      <formula>19</formula>
    </cfRule>
    <cfRule type="cellIs" dxfId="6" priority="6" operator="between">
      <formula>20</formula>
      <formula>29</formula>
    </cfRule>
    <cfRule type="cellIs" dxfId="5" priority="7" operator="between">
      <formula>30</formula>
      <formula>59</formula>
    </cfRule>
    <cfRule type="cellIs" dxfId="4" priority="8" operator="between">
      <formula>60</formula>
      <formula>100</formula>
    </cfRule>
  </conditionalFormatting>
  <conditionalFormatting sqref="J43">
    <cfRule type="cellIs" dxfId="3" priority="1" operator="between">
      <formula>1</formula>
      <formula>19</formula>
    </cfRule>
    <cfRule type="cellIs" dxfId="2" priority="2" operator="between">
      <formula>20</formula>
      <formula>29</formula>
    </cfRule>
    <cfRule type="cellIs" dxfId="1" priority="3" operator="between">
      <formula>30</formula>
      <formula>59</formula>
    </cfRule>
    <cfRule type="cellIs" dxfId="0" priority="4" operator="between">
      <formula>60</formula>
      <formula>100</formula>
    </cfRule>
  </conditionalFormatting>
  <printOptions horizontalCentered="1" verticalCentered="1"/>
  <pageMargins left="0.62992125984251968" right="0.43307086614173229" top="0.74803149606299213" bottom="0.74803149606299213" header="0.31496062992125984" footer="0.31496062992125984"/>
  <pageSetup paperSize="14" scale="39" fitToHeight="5" orientation="landscape" r:id="rId1"/>
  <rowBreaks count="4" manualBreakCount="4">
    <brk id="16" max="16383" man="1"/>
    <brk id="25" max="16383" man="1"/>
    <brk id="32" max="16383" man="1"/>
    <brk id="40"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PAAC DEF</vt:lpstr>
      <vt:lpstr>Actualizacion Mapa Riesgos Corr</vt:lpstr>
      <vt:lpstr>Seguimiento Mapa Riesgos </vt:lpstr>
      <vt:lpstr>Rendición de Ctas</vt:lpstr>
      <vt:lpstr>1er Mapa Riesgos Corrupcion</vt:lpstr>
      <vt:lpstr>'PAAC DEF'!Área_de_impresión</vt:lpstr>
      <vt:lpstr>'Rendición de Ctas'!Área_de_impresión</vt:lpstr>
      <vt:lpstr>'1er Mapa Riesgos Corrupcion'!Títulos_a_imprimir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PARRA MARTINEZ</dc:creator>
  <cp:lastModifiedBy>CAROLINA PARRA MARTINEZ</cp:lastModifiedBy>
  <cp:lastPrinted>2019-09-10T23:40:36Z</cp:lastPrinted>
  <dcterms:created xsi:type="dcterms:W3CDTF">2019-01-16T20:31:29Z</dcterms:created>
  <dcterms:modified xsi:type="dcterms:W3CDTF">2019-09-17T16:49:33Z</dcterms:modified>
</cp:coreProperties>
</file>