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Carolina Avila\Documents\4 Riesgos\Mapas de riesgos por proceso aprobados 2022\"/>
    </mc:Choice>
  </mc:AlternateContent>
  <xr:revisionPtr revIDLastSave="0" documentId="13_ncr:1_{8E87A21D-348F-4F38-8D1A-673312EB4DC2}" xr6:coauthVersionLast="47" xr6:coauthVersionMax="47" xr10:uidLastSave="{00000000-0000-0000-0000-000000000000}"/>
  <bookViews>
    <workbookView xWindow="-108" yWindow="-108" windowWidth="23256" windowHeight="12576" tabRatio="840" xr2:uid="{00000000-000D-0000-FFFF-FFFF00000000}"/>
  </bookViews>
  <sheets>
    <sheet name="Mapa de Riesgo_Corrupcion_Cons" sheetId="14" r:id="rId1"/>
    <sheet name="Listas" sheetId="18" state="hidden" r:id="rId2"/>
  </sheets>
  <externalReferences>
    <externalReference r:id="rId3"/>
    <externalReference r:id="rId4"/>
    <externalReference r:id="rId5"/>
    <externalReference r:id="rId6"/>
    <externalReference r:id="rId7"/>
    <externalReference r:id="rId8"/>
    <externalReference r:id="rId9"/>
  </externalReferences>
  <definedNames>
    <definedName name="_xlnm.Print_Titles" localSheetId="0">'Mapa de Riesgo_Corrupcion_Cons'!$1:$10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51" i="14" l="1"/>
  <c r="AJ51" i="14"/>
  <c r="AE51" i="14"/>
  <c r="AC51" i="14"/>
  <c r="AA51" i="14"/>
  <c r="Y51" i="14"/>
  <c r="AF51" i="14" s="1"/>
  <c r="AG51" i="14" s="1"/>
  <c r="W51" i="14"/>
  <c r="U51" i="14"/>
  <c r="S51" i="14"/>
  <c r="M51" i="14"/>
  <c r="L51" i="14"/>
  <c r="AE50" i="14" l="1"/>
  <c r="AC50" i="14"/>
  <c r="AA50" i="14"/>
  <c r="Y50" i="14"/>
  <c r="W50" i="14"/>
  <c r="U50" i="14"/>
  <c r="S50" i="14"/>
  <c r="AF50" i="14" s="1"/>
  <c r="AE48" i="14"/>
  <c r="AC48" i="14"/>
  <c r="AA48" i="14"/>
  <c r="Y48" i="14"/>
  <c r="W48" i="14"/>
  <c r="U48" i="14"/>
  <c r="S48" i="14"/>
  <c r="AF48" i="14" s="1"/>
  <c r="AK46" i="14"/>
  <c r="AJ46" i="14"/>
  <c r="AE46" i="14"/>
  <c r="AC46" i="14"/>
  <c r="AA46" i="14"/>
  <c r="Y46" i="14"/>
  <c r="W46" i="14"/>
  <c r="AF46" i="14" s="1"/>
  <c r="AG46" i="14" s="1"/>
  <c r="U46" i="14"/>
  <c r="S46" i="14"/>
  <c r="M46" i="14"/>
  <c r="L46" i="14"/>
  <c r="AK44" i="14" l="1"/>
  <c r="AJ44" i="14"/>
  <c r="AE44" i="14"/>
  <c r="AC44" i="14"/>
  <c r="AA44" i="14"/>
  <c r="Y44" i="14"/>
  <c r="AF44" i="14" s="1"/>
  <c r="AG44" i="14" s="1"/>
  <c r="W44" i="14"/>
  <c r="U44" i="14"/>
  <c r="S44" i="14"/>
  <c r="M44" i="14"/>
  <c r="L44" i="14"/>
  <c r="AE43" i="14"/>
  <c r="AC43" i="14"/>
  <c r="AA43" i="14"/>
  <c r="Y43" i="14"/>
  <c r="W43" i="14"/>
  <c r="U43" i="14"/>
  <c r="S43" i="14"/>
  <c r="AF43" i="14" s="1"/>
  <c r="AK42" i="14"/>
  <c r="AJ42" i="14"/>
  <c r="AE42" i="14"/>
  <c r="AC42" i="14"/>
  <c r="AA42" i="14"/>
  <c r="Y42" i="14"/>
  <c r="W42" i="14"/>
  <c r="U42" i="14"/>
  <c r="S42" i="14"/>
  <c r="AF42" i="14" s="1"/>
  <c r="AG42" i="14" s="1"/>
  <c r="M42" i="14"/>
  <c r="L42" i="14"/>
  <c r="AK37" i="14" l="1"/>
  <c r="AJ37" i="14"/>
  <c r="AE37" i="14"/>
  <c r="AC37" i="14"/>
  <c r="AA37" i="14"/>
  <c r="Y37" i="14"/>
  <c r="AF37" i="14" s="1"/>
  <c r="AG37" i="14" s="1"/>
  <c r="W37" i="14"/>
  <c r="U37" i="14"/>
  <c r="S37" i="14"/>
  <c r="M37" i="14"/>
  <c r="L37" i="14"/>
  <c r="AK32" i="14"/>
  <c r="AJ32" i="14"/>
  <c r="AE32" i="14"/>
  <c r="AC32" i="14"/>
  <c r="AA32" i="14"/>
  <c r="Y32" i="14"/>
  <c r="W32" i="14"/>
  <c r="U32" i="14"/>
  <c r="S32" i="14"/>
  <c r="AF32" i="14" s="1"/>
  <c r="AG32" i="14" s="1"/>
  <c r="M32" i="14"/>
  <c r="L32" i="14"/>
  <c r="AK27" i="14" l="1"/>
  <c r="AJ27" i="14"/>
  <c r="AE27" i="14"/>
  <c r="AC27" i="14"/>
  <c r="AA27" i="14"/>
  <c r="Y27" i="14"/>
  <c r="W27" i="14"/>
  <c r="AF27" i="14" s="1"/>
  <c r="AG27" i="14" s="1"/>
  <c r="U27" i="14"/>
  <c r="S27" i="14"/>
  <c r="M27" i="14"/>
  <c r="L27" i="14"/>
  <c r="AK26" i="14" l="1"/>
  <c r="AJ26" i="14"/>
  <c r="AE26" i="14"/>
  <c r="AC26" i="14"/>
  <c r="AA26" i="14"/>
  <c r="Y26" i="14"/>
  <c r="W26" i="14"/>
  <c r="U26" i="14"/>
  <c r="S26" i="14"/>
  <c r="AF26" i="14" s="1"/>
  <c r="AG26" i="14" s="1"/>
  <c r="M26" i="14"/>
  <c r="L26" i="14"/>
  <c r="AK25" i="14"/>
  <c r="AJ25" i="14"/>
  <c r="AE25" i="14"/>
  <c r="AC25" i="14"/>
  <c r="AA25" i="14"/>
  <c r="Y25" i="14"/>
  <c r="W25" i="14"/>
  <c r="U25" i="14"/>
  <c r="AF25" i="14" s="1"/>
  <c r="AG25" i="14" s="1"/>
  <c r="S25" i="14"/>
  <c r="M25" i="14"/>
  <c r="L25" i="14"/>
  <c r="AK23" i="14" l="1"/>
  <c r="AJ23" i="14"/>
  <c r="AE23" i="14"/>
  <c r="AC23" i="14"/>
  <c r="AA23" i="14"/>
  <c r="Y23" i="14"/>
  <c r="AF23" i="14" s="1"/>
  <c r="AG23" i="14" s="1"/>
  <c r="W23" i="14"/>
  <c r="U23" i="14"/>
  <c r="S23" i="14"/>
  <c r="M23" i="14"/>
  <c r="L23" i="14"/>
  <c r="AK20" i="14" l="1"/>
  <c r="AJ20" i="14"/>
  <c r="M20" i="14"/>
  <c r="L20" i="14"/>
  <c r="AK19" i="14"/>
  <c r="AJ19" i="14"/>
  <c r="M19" i="14"/>
  <c r="L19" i="14"/>
  <c r="AK16" i="14"/>
  <c r="AJ16" i="14"/>
  <c r="M16" i="14"/>
  <c r="L16" i="14"/>
  <c r="L11" i="14" l="1"/>
  <c r="Y11" i="14" l="1"/>
  <c r="AE11" i="14"/>
  <c r="AC11" i="14"/>
  <c r="AA11" i="14"/>
  <c r="W11" i="14"/>
  <c r="U11" i="14"/>
  <c r="S11" i="14"/>
  <c r="AF11" i="14" l="1"/>
  <c r="AG11" i="14" s="1"/>
  <c r="AK11" i="14"/>
  <c r="M11" i="14"/>
  <c r="AJ1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Ramos</author>
    <author>Carmen Catalina Arango Barbaran</author>
  </authors>
  <commentList>
    <comment ref="C9" authorId="0" shapeId="0" xr:uid="{00000000-0006-0000-0000-00000100000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O9" authorId="1" shapeId="0" xr:uid="{00000000-0006-0000-0000-000002000000}">
      <text>
        <r>
          <rPr>
            <b/>
            <sz val="9"/>
            <color indexed="81"/>
            <rFont val="Tahoma"/>
            <family val="2"/>
          </rPr>
          <t xml:space="preserve">Determine si el tipo de control de detectivo o preventivo
 </t>
        </r>
      </text>
    </comment>
    <comment ref="AH9" authorId="1" shapeId="0" xr:uid="{00000000-0006-0000-0000-000003000000}">
      <text>
        <r>
          <rPr>
            <b/>
            <sz val="9"/>
            <color indexed="81"/>
            <rFont val="Tahoma"/>
            <family val="2"/>
          </rPr>
          <t xml:space="preserve">Analice nuevamente el nivel de probabilidad del riesgo tomando en cuenta los controles descritos. </t>
        </r>
      </text>
    </comment>
    <comment ref="AI9" authorId="1" shapeId="0" xr:uid="{00000000-0006-0000-0000-00000400000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<sst xmlns="http://schemas.openxmlformats.org/spreadsheetml/2006/main" count="538" uniqueCount="256">
  <si>
    <t xml:space="preserve">Preventivo </t>
  </si>
  <si>
    <t>SI</t>
  </si>
  <si>
    <t>NO</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</si>
  <si>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</si>
  <si>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</si>
  <si>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</si>
  <si>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</si>
  <si>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</si>
  <si>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</si>
  <si>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</si>
  <si>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</si>
  <si>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Periodicidad</t>
  </si>
  <si>
    <t>CONTEXTO ESTRATÉGICO</t>
  </si>
  <si>
    <t>IDENTIFICACIÓN DEL RIESGO</t>
  </si>
  <si>
    <t>VALORACIÓN DEL RIESGO</t>
  </si>
  <si>
    <t>Tecnológicos</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</si>
  <si>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</si>
  <si>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</si>
  <si>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</si>
  <si>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</si>
  <si>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</si>
  <si>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</si>
  <si>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</si>
  <si>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</si>
  <si>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</si>
  <si>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</si>
  <si>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</si>
  <si>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</si>
  <si>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</si>
  <si>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</si>
  <si>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</si>
  <si>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</si>
  <si>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</si>
  <si>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</si>
  <si>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</si>
  <si>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</si>
  <si>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</si>
  <si>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</si>
  <si>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Evitarlo</t>
  </si>
  <si>
    <t>Reducirlo</t>
  </si>
  <si>
    <t>Compartirlo o Transferirlo</t>
  </si>
  <si>
    <t xml:space="preserve">Asumirlo </t>
  </si>
  <si>
    <t xml:space="preserve">Tipo de riesgo </t>
  </si>
  <si>
    <t xml:space="preserve">Factores </t>
  </si>
  <si>
    <t>Factores de Riesgo</t>
  </si>
  <si>
    <t>Externo</t>
  </si>
  <si>
    <t>Interno</t>
  </si>
  <si>
    <t>No de Riesgo</t>
  </si>
  <si>
    <t xml:space="preserve">Probabilidad 
Residual </t>
  </si>
  <si>
    <t>Impacto 
Residual</t>
  </si>
  <si>
    <t>Procesos</t>
  </si>
  <si>
    <t>Estratégicos</t>
  </si>
  <si>
    <t>Personal</t>
  </si>
  <si>
    <t>Tecnología</t>
  </si>
  <si>
    <t>Comunicación Interna</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</si>
  <si>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</si>
  <si>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</si>
  <si>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</si>
  <si>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</si>
  <si>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</si>
  <si>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</si>
  <si>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</si>
  <si>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</si>
  <si>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</si>
  <si>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</si>
  <si>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</si>
  <si>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</si>
  <si>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</si>
  <si>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</si>
  <si>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</si>
  <si>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</si>
  <si>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</si>
  <si>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</si>
  <si>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</si>
  <si>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</si>
  <si>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</si>
  <si>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</si>
  <si>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Promedio</t>
  </si>
  <si>
    <t>El control mitiga la probabilidad</t>
  </si>
  <si>
    <t>El control mitiga el impacto</t>
  </si>
  <si>
    <t>El control mitiga la probabilidad y el impacto</t>
  </si>
  <si>
    <t>Cumplimiento</t>
  </si>
  <si>
    <t>Imagen o reputacional</t>
  </si>
  <si>
    <t>Ambiental</t>
  </si>
  <si>
    <t>Seguridad y Salud en el Trabajo</t>
  </si>
  <si>
    <t>Detectivo</t>
  </si>
  <si>
    <t>Soporte</t>
  </si>
  <si>
    <t>Tiempo</t>
  </si>
  <si>
    <t>Económicos</t>
  </si>
  <si>
    <t>Políticos</t>
  </si>
  <si>
    <t xml:space="preserve">Sociales </t>
  </si>
  <si>
    <t>Medio Ambientales</t>
  </si>
  <si>
    <t>Financiero</t>
  </si>
  <si>
    <t>Opción de tratamiento</t>
  </si>
  <si>
    <t>Evitar</t>
  </si>
  <si>
    <t>Reducir</t>
  </si>
  <si>
    <t>Compartir</t>
  </si>
  <si>
    <t>PROCESO: GESTIÓN DE MEJORA CONTINUA</t>
  </si>
  <si>
    <t>Actividad</t>
  </si>
  <si>
    <t>No. de Riesgo</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</si>
  <si>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</si>
  <si>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</si>
  <si>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</si>
  <si>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</si>
  <si>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</si>
  <si>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</si>
  <si>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</si>
  <si>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</si>
  <si>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</si>
  <si>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</si>
  <si>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</si>
  <si>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</si>
  <si>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Legales y reglamentarios</t>
  </si>
  <si>
    <t>Estratégico / Gerenciales</t>
  </si>
  <si>
    <t>Gestión Financiera</t>
  </si>
  <si>
    <t>Evaluación Independiente</t>
  </si>
  <si>
    <t>Consecuencia(s)</t>
  </si>
  <si>
    <t>Directamente</t>
  </si>
  <si>
    <t>Indirectamente</t>
  </si>
  <si>
    <t>No disminuye</t>
  </si>
  <si>
    <t xml:space="preserve">Elecciones de Servidores Públicos Distritales </t>
  </si>
  <si>
    <t>Control Político</t>
  </si>
  <si>
    <t>Internos
DEBILIDADES - FORTALEZAS</t>
  </si>
  <si>
    <t>Descripción del Riesgo</t>
  </si>
  <si>
    <t>ANÁLISIS DE RIESGO</t>
  </si>
  <si>
    <t>TRATAMIENTO DE RIESGOS</t>
  </si>
  <si>
    <t>Plan de tratamiento de riesgos</t>
  </si>
  <si>
    <t>Activo 
(Aplica para los riesgos de Seguridad digital)</t>
  </si>
  <si>
    <t>Corrupción / Fraude</t>
  </si>
  <si>
    <t>Externos
AMENAZAS - OPORTUNIDADES</t>
  </si>
  <si>
    <t>Causas / 
Vulnerabilidades</t>
  </si>
  <si>
    <t>Seguridad de la Información /Seguridad Digital</t>
  </si>
  <si>
    <t>N.A.</t>
  </si>
  <si>
    <t>Aceptar</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</si>
  <si>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</si>
  <si>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</si>
  <si>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</si>
  <si>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Oficina Asesora de Comunicaciones</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</si>
  <si>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Dirección Técnico Juridica.</t>
  </si>
  <si>
    <t>Mantener y desarrollar las actividades de control del procedimiento del proceso.</t>
  </si>
  <si>
    <t xml:space="preserve">Evidencias establecidas en el procedimiento. </t>
  </si>
  <si>
    <t>Diciembre de 2022</t>
  </si>
  <si>
    <t>PROCESO</t>
  </si>
  <si>
    <t xml:space="preserve">No cumplir con lo establecido en el procedimiento de Gestión Normativa para el sorteo de Ponentes, favoreciendo a un tercero. </t>
  </si>
  <si>
    <t xml:space="preserve">
Incumplimiento de los requisitos para el sorteo de ponentes que facilita la obtención de beneficios propios o para un tercero</t>
  </si>
  <si>
    <t>Indagación y/o investigación administrativa, fiscal, disciplinaria o penal</t>
  </si>
  <si>
    <t xml:space="preserve">Corrupción </t>
  </si>
  <si>
    <t>El presidente de la Corporación, en presencia del Secretario General de Organismo de Control, con el apoyo de recursos humanos, tecnológicos y físicos, en cada periodo ordinario o extraordinario de sesiones realiza el sorteo público de ponentes,  adoptando medidas de transparencia tales como: convocatoria pública para que asistan los concejales, secretarios de comisiones permanentes, funcionarios de las UAN, delegados de la Administración Distrital, y en caso de inobservancia del reglamento interno lo puedan advertir. El evento se graba para dejar evidencia de su realización.</t>
  </si>
  <si>
    <t>1. Convocar a los interesados para el sorteo de los proyectos de acuerdo.
2. Grabar en video y audio el sorteo, disponibles en la red interna de la Corporación.                                          3. Gestionar la designación de un asesor de mesa directiva, para que verifique la designación de ponentes, conforme al Reglamento Interno.                                                              4. El secretario general y/o los subsecretarios de despacho, junto con los profesionales de apoyo, verificar la designación de ponentes, conforme al Reglamento Interno y en caso de irregularidad, informar al Presidente para realización de nuevo sorteo.</t>
  </si>
  <si>
    <t>1. Correo electronico convocando a los interesados 
2. Memorandos de comunicación                        3. Memorando de solicitud de designación de asesor</t>
  </si>
  <si>
    <t>1. Secretaria general
2. Direccion adminsitrativa/sistemas</t>
  </si>
  <si>
    <t xml:space="preserve"> Sesiones ordinarias (Febrero, Mayo, Agosto y Noviembre) y en sesiones extraordinarias año 2022</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</si>
  <si>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</si>
  <si>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</si>
  <si>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</si>
  <si>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Expedición de certificaciones de honorarios que no se ajusten a la asistencia real de los Honorables Concejales a las sesiones plenarias y comisiones, para beneficio propio o de un tercero</t>
  </si>
  <si>
    <t>Indagación y/o investigación administrativa, fiscal, disciplinaria o penal 
Detrimento patrimonial</t>
  </si>
  <si>
    <t xml:space="preserve">
El profesional asignado por parte del secretario general o el subsecretario después de cada sesión, revisa los llamados a lista diligenciados por el secretario ejecutivo o el auxiliar administrativo. En caso de encontrar desviaciones con el  registro electrónico o el llamado a lista de soporte, por falla del procedimiento electrónico, el profesional realiza los ajustes respectivos.  Adicionalmente el secretario general y los subsecretarios de comisiones, verifican las certificaciones mensuales emitidas, con fundamento en los llamados a lista de cada sesión y el secretario general verifica el consolidado mensual, con fundamento en las certificaciones de cada subsecretario de comisión.</t>
  </si>
  <si>
    <t>Verificar la certificacion con el registro suministrado por sistemas y en caso de fallas del sistema, se verificará el llamado a lista confrontado con la grabación de la sesión, de conformidad con el reglamento interno vigente</t>
  </si>
  <si>
    <t>Registro de asistencia expedido por sistemas de cada una de las sesiones o el llamado a lista firmado por el secretario o subsecretario.</t>
  </si>
  <si>
    <t>Secretario General de Organismo de control
Subsecretarios de Comisiones permanentes</t>
  </si>
  <si>
    <t>Enero -Diciembre  (mensual)</t>
  </si>
  <si>
    <t>No verificar el registro biométrico de votación para elaborar la certificación.</t>
  </si>
  <si>
    <t>Expedición de certificaciones de votaciones que no corresponden a las reales, con el fin de favorecer un interés propio o de terceros</t>
  </si>
  <si>
    <t xml:space="preserve">El profesional asignado por parte del secretario general o el subsecretario,  elabora el registro de votación una vez culminada la sesión, a la mayor brevedad posible el secretario general o subsecretario de comisión revisa y verifica la información para expedir la certificación y en el caso de encontrar inconsistencias realiza los ajustes respectivos y expide la certificación. Una vez firmadas se publican en la red interna y la página Web, en cumplimiento de la ley 1712 de 2014 </t>
  </si>
  <si>
    <t>Verificar la votacion con el registro suministrado por sistemas y en caso de fallas del sistema, diligenciar el formato de votación nominal confrontado con la grabación de la sesión, de conformidad con el reglamento interno vigente</t>
  </si>
  <si>
    <t>Registro de votación expedido por sistemas de cada una de las sesiones o el llamado a lista firmado por el secretario o subsecretario.</t>
  </si>
  <si>
    <t>Secretario General de organismo de control, 
Subsecretarios de Comisiones permanentes</t>
  </si>
  <si>
    <t xml:space="preserve">Sesiones ordinarias (Febrero, Mayo, Agosto y Noviembre) y en sesiones extraordinarias por decreto </t>
  </si>
  <si>
    <t>Omisión en el registro de la votación que se lleve a cabo.</t>
  </si>
  <si>
    <t>NO verficar la grabacion de las sesiones  (audio -video)</t>
  </si>
  <si>
    <t>Que se presente omisión en los requisitos establecidos de tiempo y norma.</t>
  </si>
  <si>
    <t>No cumplir con los lineamientos establecidos en los actos administrativos que se expiden para llevar a cabo la elección de servidores públicos  secretario general de organismo de control y/o subsecretarios de despacho de las comisiones permanentes, o en la toma de decisiones en beneficio propio o de un tercero</t>
  </si>
  <si>
    <t>Pérdida de confianza en lo público</t>
  </si>
  <si>
    <t>La Mesa Directiva de la Corporación cuando  requiera adelantar la convocatoria pública para la elección del Secretario General de Organismo de Control y los Subsecretarios de Despacho de las Comisiones Permanentes, garantizará los principios de transparencia y publicidad, ordenando en el acto administrativo de apertura y reglamentación del proceso, la publicación de las hojas de vida de los aspirantes con sus respectivos anexos, solicitará el acompañamiento del Ministerio Público, con el propósito de  verificar que la convocatoria se adelanta conforme al procedimiento establecido por la Mesa Directiva, consultará la pagina web de la Corporación y asistirá a las sesiones convocadas  en desarrollo del proceso. En caso de presentarse desviaciones se comunicará lo sucedido a la autoridad competente para que inicie las investigaciones a que haya lugar. Así mismo, se adelantarán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</si>
  <si>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apertura de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 sensibles.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</si>
  <si>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solicita el acompañamiento del Ministerio Público</t>
  </si>
  <si>
    <t>Mesa Directiva de la Corporación , Secretaria General, Dirección Jurídica, Oficina de Comunicaciones.</t>
  </si>
  <si>
    <t>Falta de capacitacion al personal, acompañamiento y orientacion a la personas que ejectutan el proceso</t>
  </si>
  <si>
    <t>Indagación y/o investigación administrativa, disciplinaria, fiscal o penal.</t>
  </si>
  <si>
    <t>Elecciones de servidores públicos distritales</t>
  </si>
  <si>
    <t>N.A</t>
  </si>
  <si>
    <t xml:space="preserve">Intereses y presiones de actores internos o  externos para favorecer a un particular. </t>
  </si>
  <si>
    <t>Posibilidad de favorecer a personas que no cumplan los requisitos en los planes de  bienestar o capacitación con el fin de beneficiar a particulares.</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</si>
  <si>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</si>
  <si>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</si>
  <si>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Realizar cumplimiento de los procedimientos de Plan de Bienestar e Incentivos y Capacitación a Funcionarios.</t>
  </si>
  <si>
    <t>Listados de inscripción para las actividades de bienestar y capacitación.
Base de datos de los inscritos</t>
  </si>
  <si>
    <t>Equipo de Bienestar y capacitación</t>
  </si>
  <si>
    <t>31 de diciembre de 2022</t>
  </si>
  <si>
    <t>Realizar actuaciones administrativas (nombramiento de funcionarios, encargos, reconocimiento de primas técnicas) sin el lleno de los requisitos legales o reglamentarios para favorecer a un tercero.</t>
  </si>
  <si>
    <t>Sanciones Disciplinarias
Sanciones Fiscales.
Sanciones Penales.</t>
  </si>
  <si>
    <t xml:space="preserve">El responsable de proyectar el acto administrativo cada vez que se emite un acto administrativo verifica el cumplimiento de los requisitos establecidos en el procedimiento y en la norma, el documento proyectado es revisado por el asesor y entregado a la Dirección administrativa para la revisión, aprobación y certificación  del cumplimiento en los casos en que se requiere. De no encontrarse ajustado a los términos requeridos se solicita al punto de control realizar el ajuste.
En caso de que se encuentre una desviación el punto de control en el que se detecto lo devuelve a donde se origino el documento para su revisión y ajuste. </t>
  </si>
  <si>
    <t xml:space="preserve">Realizar cumplimiento de los procedimiento de vinculación, desvinculación, licencias no remuneradas  y aplicar los puntos de control establecidos en el procedimiento de encargos. </t>
  </si>
  <si>
    <t>Hoja de ruta de verificación</t>
  </si>
  <si>
    <t>Director Administrativo - equipo de talento humano.</t>
  </si>
  <si>
    <t>CONSOLIDADO MAPA DE RIEGOS DE CORRUPCIÓN 2022</t>
  </si>
  <si>
    <t>Presión de terceros para incidir en las decisiones de la Dirección Jurídica.</t>
  </si>
  <si>
    <t>Avalar la expedición de actos administrativos y emitir conceptos por fuera del marco legal con el fin de favorecer el interés de un tercero.</t>
  </si>
  <si>
    <t>*Toma decisiones administrativas en contravía del ordenamiento jurídico.
*Posible investigacion penal, disciplinaria y/o fiscal.
* Acciones contencioso administrativas.
*Acción de Repetición contra el funcionario que decide.
*Afectacion imagen institucional.</t>
  </si>
  <si>
    <t>El Director Jurídico cada vez que se solicita la revisión de un acto administrativo o un concepto, asigna el tema a un profesional, quien proyecta el acto administrativo o el concepto solicitado y lo remite al Director Jurídico, quien solo imparte viabilidad jurídica a los  proyectos de actos y  conceptos que estén acordes con los requisitos legales.  En caso de encontrar alguna inconsistencia, el Director ordena efectuar el correspondiente ajuste, previo a emitir el aval  o a suscribir el documento para publicar (conceptos) o enviar a la Mesa Directiva.</t>
  </si>
  <si>
    <t>Realizar actualización del procedimiento de Asesoría Jurídica Interna.</t>
  </si>
  <si>
    <t>Procedimiento actualizado</t>
  </si>
  <si>
    <t>Director Técnico Jurídico</t>
  </si>
  <si>
    <t>31 de agosto de 2022</t>
  </si>
  <si>
    <t>Los funcionarios a quienes se presta el servicio de transporte tienen intención de manera directa o por presión de un tercero interno/ externo de darles usos diferentes a los estrictamente establecidos por la entidad para su beneficio personal.</t>
  </si>
  <si>
    <t xml:space="preserve">Posibilidad de dar uso indebido a los vehiculos propios de la Corporación, que prestan servicios de transporte a las dependencias administrativas y a los directivos a cargo de las mismas, en beneficio de terceros o particulares. </t>
  </si>
  <si>
    <t xml:space="preserve">Investigaciones disciplinarias
Investigaciones fiscales
Investigaciones penales
Detrimento patrimonial
Pérdida de imagen institucional </t>
  </si>
  <si>
    <t>El profesional  o Auxiliar administrativo cada vez que se solicita un servicio  de transporte, verifican que el servicio  se haya prestado de conformidad con el protocolo establecido:  el conductor haya registrado el servicio de transporte prestado, el formato esté  firmado por el funcionario a quien se le prestó el servicio. Si no se encuentra firmado se constata con el funcionario que el servicio se haya prestado y en el espacio de observaciones se registran los eventos que no hayan cumplido con el procedimiento.</t>
  </si>
  <si>
    <t xml:space="preserve">Comunicar y socializar a las partes interesadas el reglamento para la administraciòn, uso y manejo del parque automotor propio al servicio del Concejo de Bogota. </t>
  </si>
  <si>
    <t xml:space="preserve">Memorandos y/o actas de reunión de socialización del Reglamento para la administraciòn, uso y manejo del parque automotor propio al servicio del Concejo de Bogota adoptado. </t>
  </si>
  <si>
    <t xml:space="preserve">Dirección administrativa </t>
  </si>
  <si>
    <t>30 de Diciembre de 2022</t>
  </si>
  <si>
    <t>Debilidad en los lineamientos, directirices o controles en la utilización de los recursos.</t>
  </si>
  <si>
    <t xml:space="preserve">Posibilidad de dar uso indebido a los recursos e insumos de  servicios generales o mantenimiento en benificio de terceros o particulares. </t>
  </si>
  <si>
    <t xml:space="preserve">Investigaciones disciplinarias
Investigaciones fiscales
Investigaciones penales
Detrimento patrimonial
Perdida de imagen institucional </t>
  </si>
  <si>
    <t>El profesional universitario y el auxiliar administrativo  (de un lado, realiza seguimiento al cumplimiento del contrato de mantenimiento de infraestructura) (frente a los insumos el auxiliar administrativo lleva control del inventario de insumos de aseo y cafeteria). Verifica que la empresa contratista provea los insumos;  hace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</si>
  <si>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Realizar reunión de socialización con los integrantes de mantenimiento y servicios generales de los  procedimientos y formatos para ejecer adecuado control del manejo de suministros.</t>
  </si>
  <si>
    <t>Registro de reunión.</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</si>
  <si>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</si>
  <si>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</si>
  <si>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</si>
  <si>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 Sistema de copias de seguridad, diariamente genera una copia de respaldo de la información en otro medio, el profesional asigando  verifica, que se halla realizado correctamente, de encontrarse inconsistencias se detecta la causa y se genera nuevamente el back up.</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</si>
  <si>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</si>
  <si>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</si>
  <si>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</si>
  <si>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Diciembre 2022</t>
  </si>
  <si>
    <t>Falta de definición e implementación de controles para el acceso a la información.</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</si>
  <si>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</si>
  <si>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</si>
  <si>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</si>
  <si>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</si>
  <si>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 cada sistema verifica,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</si>
  <si>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</si>
  <si>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</si>
  <si>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Vulnerabilidades de las plataformas de los sistemas informáticos</t>
  </si>
  <si>
    <t>Concentrar las labores de supervisión en poco personal.
Desconocimiento de la normativa aplicable a la supervisión contractual.
Retrasos en la gestión para la adquisición de bienes y servicios para la Corporación.</t>
  </si>
  <si>
    <t>Inadecuada gestión contractual de los supervisores en los requerimientos realizadas a la Dirección Financiera, generando incumplimiento de las obligaciones contractuales, en beneficio propio o de un tercero.</t>
  </si>
  <si>
    <t>Incumplimiento del objeto contractual por parte del contratista.
Servicios prestados no acordes a la necesidades que se pretendían satisfacer.
Demora en los pagos a los contratistas.
Sanciones pecuniarias por el pago sin la verificación de la prestación de servicio o la entrega de bienes contratados.</t>
  </si>
  <si>
    <t>Una vez perfeccionado el contrato y remitido por la Subdirección de Asuntos Contractuales - SDH, el responsable del procedimiento de Fondo Cuenta proyecta memorando al funcionario asignado como Supervisor del Contrato, informándole la designación en la supervisión y su responsabilidades; por comunicación oficial se adjunta el link del Manual de Contratación y la Guía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</si>
  <si>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</si>
  <si>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Acta de Reunión</t>
  </si>
  <si>
    <t>Director Financiero y Fondo Cuenta del Concejo</t>
  </si>
  <si>
    <t xml:space="preserve">Semestral </t>
  </si>
  <si>
    <t>Recibida la cuenta de cobro por parte de los contratistas de la Dirección Financiera y por parte de los Supervisores de las demás dependencias de la Corporación, los apoyos a la supervisión de los contratos proceden a verificar la documentación y soportes aportados (Ej.: Pago seguridad social, Informe de Supervisión Periódica, Facturas si aplica, Informe de Ejecución Mensual, entre otros), siendo correcto se procede a dar visto bueno en el Formato Ejecución y Supervisión de Contratos y el Procedimiento Fondo Cuenta  elabora oficio remisorio a la SDH. En caso de evidenciar observaciones se devuelve al supervisor para los correspondientes ajustes.</t>
  </si>
  <si>
    <t xml:space="preserve">Capacitar a los  Supervisores de Contrato, Apoyos a la Supervisión y Contratistas con el propósito de orientar en la correcta presentación de la documentación y los aplicativos correspondientes. </t>
  </si>
  <si>
    <t>Registro de Asistencia</t>
  </si>
  <si>
    <t>Anual</t>
  </si>
  <si>
    <t>Recibido el Informe final de la ejecución del contrato por parte de los contratistas de la Dirección Financiera y por parte de los Supervisores de las demás dependencias de la Corporación, los apoyos a la supervisión de los contratos proceden a verificar la documentación y soportes aportados (Ej.: Pago seguridad social, Informe de Supervisión Periódica, Facturas si aplica, Informe de Ejecución Mensual y Final, entre otros), siendo correcto el Procedimiento Fondo Cuenta a elabora oficio remisorio a la SDH. En caso de evidenciar observaciones se devuelve al supervisor para los correspondientes ajustes.</t>
  </si>
  <si>
    <t>Conducta inapropiada de integridad del servidor público</t>
  </si>
  <si>
    <t>Posibilidad de afectar la independencia del proceso de evaluación independiente al emplear la información obtenida en el marco de los procesos de Auditoría Interna, para favorecer a un tercero o usarla en beneficio propio</t>
  </si>
  <si>
    <t>Afectación de la imagen de la oficina y la entidad frente a la integridad y confidencialidad de la información de las auditorías internas.
Informes de auditoría sesgados a beneficio de terceros.</t>
  </si>
  <si>
    <t>En cada auditoría interna se realiza reunión con el Jefe de Control Interno para revisar el informe preliminar de auditoría (Acta) y en caso de encontrar diferencias, se realizan los ajustes correspondientes, siempre contando con la firma del Auditor Lider y del Jefe de la Oficina de Control Interno con el fin de que el Informe de Auditoría disponga de revisión por el lider del proceso.</t>
  </si>
  <si>
    <t xml:space="preserve">Revisión del Informe Final con la intervensión del Jefe de la Oficina de Control Interno. </t>
  </si>
  <si>
    <t>Jefe de la OCI y Auditor líder</t>
  </si>
  <si>
    <t>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</si>
</sst>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1"/>
      <name val="Arial"/>
      <family val="2"/>
    </font>
    <font>
      <b/>
      <sz val="1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67">
    <xf numFmtId="0" fontId="0" fillId="0" borderId="0" xfId="0"/>
    <xf numFmtId="0" fontId="1" fillId="0" borderId="1" xfId="0" applyFont="1" applyBorder="1"/>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Fill="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5" fillId="0" borderId="0"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4" borderId="1" xfId="0" applyFont="1" applyFill="1" applyBorder="1" applyAlignment="1">
      <alignment horizontal="justify" vertical="center" wrapText="1"/>
    </xf>
    <xf numFmtId="0" fontId="0" fillId="0" borderId="0" xfId="0" applyAlignment="1">
      <alignment wrapText="1"/>
    </xf>
    <xf numFmtId="0" fontId="0" fillId="0" borderId="1" xfId="0" applyBorder="1"/>
    <xf numFmtId="0" fontId="0" fillId="0" borderId="1" xfId="0" applyFont="1" applyFill="1" applyBorder="1" applyAlignment="1">
      <alignment horizontal="left"/>
    </xf>
    <xf numFmtId="0" fontId="0" fillId="0" borderId="1" xfId="0"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4" xfId="0" applyFont="1" applyBorder="1"/>
    <xf numFmtId="0" fontId="0" fillId="0" borderId="4" xfId="0" applyBorder="1" applyAlignment="1">
      <alignment horizontal="center" vertical="center"/>
    </xf>
    <xf numFmtId="0" fontId="1" fillId="0" borderId="0" xfId="0" applyFont="1" applyBorder="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6" fillId="7" borderId="1" xfId="0" quotePrefix="1" applyFont="1" applyFill="1" applyBorder="1" applyAlignment="1">
      <alignment horizontal="justify" vertical="center" wrapText="1"/>
    </xf>
    <xf numFmtId="0" fontId="4" fillId="0" borderId="11" xfId="0" applyFont="1" applyBorder="1" applyAlignment="1">
      <alignment horizontal="center" vertical="center" wrapText="1"/>
    </xf>
    <xf numFmtId="0" fontId="4" fillId="0" borderId="1" xfId="0" applyFont="1" applyBorder="1" applyAlignment="1">
      <alignment horizontal="left" vertical="center" wrapText="1"/>
    </xf>
    <xf numFmtId="0" fontId="5" fillId="10" borderId="2"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6" borderId="11" xfId="0" applyFont="1" applyFill="1" applyBorder="1" applyAlignment="1">
      <alignment horizontal="center" vertical="center"/>
    </xf>
    <xf numFmtId="0" fontId="5" fillId="6" borderId="3"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8" borderId="1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1" xfId="0" applyFont="1" applyFill="1" applyBorder="1" applyAlignment="1">
      <alignment horizontal="center" vertical="center" wrapText="1"/>
    </xf>
    <xf numFmtId="0" fontId="4" fillId="7" borderId="1" xfId="0" quotePrefix="1" applyFont="1" applyFill="1" applyBorder="1" applyAlignment="1">
      <alignment horizontal="justify" vertical="center" wrapText="1"/>
    </xf>
    <xf numFmtId="0" fontId="4" fillId="7" borderId="1" xfId="0" applyFont="1" applyFill="1" applyBorder="1" applyAlignment="1">
      <alignment horizontal="justify" vertical="center" wrapText="1"/>
    </xf>
    <xf numFmtId="0" fontId="6" fillId="7" borderId="1" xfId="0" quotePrefix="1"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6" fillId="7" borderId="1" xfId="0" quotePrefix="1" applyFont="1" applyFill="1" applyBorder="1" applyAlignment="1">
      <alignment horizontal="justify" vertical="center" wrapText="1"/>
    </xf>
    <xf numFmtId="0" fontId="6" fillId="7"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4" fillId="0" borderId="5" xfId="0" quotePrefix="1"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7" borderId="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6" borderId="4"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Font="1" applyFill="1" applyBorder="1" applyAlignment="1">
      <alignment horizontal="left" vertical="top" wrapText="1"/>
    </xf>
    <xf numFmtId="0" fontId="5" fillId="4" borderId="12" xfId="0" applyFont="1" applyFill="1" applyBorder="1" applyAlignment="1">
      <alignment horizontal="center" vertical="center" wrapText="1"/>
    </xf>
    <xf numFmtId="0" fontId="4" fillId="0" borderId="1"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1" xfId="0" quotePrefix="1" applyFont="1" applyBorder="1" applyAlignment="1">
      <alignment horizontal="left" vertical="center" wrapText="1"/>
    </xf>
    <xf numFmtId="0" fontId="6" fillId="0" borderId="5"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4" fillId="0" borderId="5" xfId="0" applyFont="1" applyBorder="1" applyAlignment="1">
      <alignment horizontal="left" vertical="center" wrapText="1"/>
    </xf>
    <xf numFmtId="0" fontId="5" fillId="2" borderId="5"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horizontal="center" vertical="center"/>
    </xf>
    <xf numFmtId="0" fontId="6" fillId="0" borderId="6" xfId="0" quotePrefix="1" applyFont="1" applyBorder="1" applyAlignment="1">
      <alignment horizontal="left" vertical="center" wrapText="1"/>
    </xf>
    <xf numFmtId="0" fontId="4" fillId="0" borderId="6" xfId="0" quotePrefix="1" applyFont="1" applyBorder="1" applyAlignment="1">
      <alignment horizontal="left" vertical="center" wrapText="1"/>
    </xf>
    <xf numFmtId="0" fontId="4" fillId="0" borderId="6" xfId="0" applyFont="1" applyBorder="1" applyAlignment="1">
      <alignment horizontal="left" vertical="center" wrapText="1"/>
    </xf>
    <xf numFmtId="0" fontId="5" fillId="2" borderId="6" xfId="0" applyFont="1" applyFill="1" applyBorder="1" applyAlignment="1">
      <alignment horizontal="center" vertical="center"/>
    </xf>
    <xf numFmtId="0" fontId="5" fillId="0" borderId="6" xfId="0" applyFont="1" applyBorder="1" applyAlignment="1">
      <alignment horizontal="center" vertical="center"/>
    </xf>
    <xf numFmtId="0" fontId="6" fillId="7" borderId="1" xfId="0" applyFont="1" applyFill="1" applyBorder="1" applyAlignment="1">
      <alignment horizontal="left" vertical="center" wrapText="1"/>
    </xf>
    <xf numFmtId="0" fontId="6" fillId="7" borderId="1" xfId="0" quotePrefix="1" applyFont="1" applyFill="1" applyBorder="1" applyAlignment="1">
      <alignment horizontal="left" vertical="center" wrapText="1"/>
    </xf>
    <xf numFmtId="0" fontId="4" fillId="7" borderId="1" xfId="0" applyFont="1" applyFill="1" applyBorder="1" applyAlignment="1">
      <alignment vertical="center" wrapText="1"/>
    </xf>
    <xf numFmtId="0" fontId="4"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1" xfId="0" quotePrefix="1" applyFont="1" applyFill="1" applyBorder="1" applyAlignment="1">
      <alignment horizontal="left" vertical="center" wrapText="1"/>
    </xf>
    <xf numFmtId="0" fontId="4" fillId="0" borderId="1" xfId="0" quotePrefix="1" applyFont="1" applyBorder="1" applyAlignment="1">
      <alignment horizontal="center" vertical="center" wrapText="1"/>
    </xf>
    <xf numFmtId="0" fontId="6" fillId="0" borderId="1" xfId="0" quotePrefix="1" applyFont="1" applyBorder="1" applyAlignment="1" applyProtection="1">
      <alignment vertical="center" wrapText="1" shrinkToFit="1"/>
      <protection locked="0"/>
    </xf>
    <xf numFmtId="0" fontId="4" fillId="0" borderId="1" xfId="0" quotePrefix="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vertical="center" wrapText="1"/>
    </xf>
    <xf numFmtId="15" fontId="6" fillId="0" borderId="1" xfId="0" applyNumberFormat="1" applyFont="1" applyBorder="1" applyAlignment="1">
      <alignment horizontal="center" vertical="center" wrapText="1"/>
    </xf>
    <xf numFmtId="0" fontId="7" fillId="0" borderId="0" xfId="0" applyFont="1" applyAlignment="1">
      <alignment vertical="center"/>
    </xf>
    <xf numFmtId="0" fontId="6" fillId="0" borderId="1" xfId="0" applyFont="1" applyBorder="1" applyAlignment="1">
      <alignment horizontal="left" vertical="center" wrapText="1"/>
    </xf>
    <xf numFmtId="0" fontId="4" fillId="0" borderId="12" xfId="0" applyFont="1" applyBorder="1" applyAlignment="1">
      <alignment horizontal="left" vertical="center" wrapText="1"/>
    </xf>
    <xf numFmtId="49" fontId="4" fillId="0" borderId="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6" fillId="7" borderId="5" xfId="0" applyFont="1" applyFill="1" applyBorder="1" applyAlignment="1">
      <alignment horizontal="center" vertical="center" wrapText="1"/>
    </xf>
    <xf numFmtId="17" fontId="4" fillId="0" borderId="5" xfId="0" quotePrefix="1" applyNumberFormat="1" applyFont="1" applyBorder="1" applyAlignment="1">
      <alignment horizontal="center" vertical="center"/>
    </xf>
    <xf numFmtId="0" fontId="6" fillId="7" borderId="6" xfId="0" applyFont="1" applyFill="1" applyBorder="1" applyAlignment="1">
      <alignment horizontal="center" vertical="center" wrapText="1"/>
    </xf>
    <xf numFmtId="17" fontId="4" fillId="0" borderId="6" xfId="0" quotePrefix="1" applyNumberFormat="1" applyFont="1" applyBorder="1" applyAlignment="1">
      <alignment horizontal="center" vertical="center"/>
    </xf>
    <xf numFmtId="0" fontId="4" fillId="7" borderId="1" xfId="0" quotePrefix="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7" borderId="5" xfId="0" applyFont="1" applyFill="1" applyBorder="1" applyAlignment="1">
      <alignment horizontal="justify" vertical="center" wrapText="1"/>
    </xf>
    <xf numFmtId="0" fontId="4" fillId="0" borderId="5" xfId="0" applyFont="1" applyBorder="1" applyAlignment="1">
      <alignment horizontal="justify" vertical="center"/>
    </xf>
    <xf numFmtId="0" fontId="4" fillId="0" borderId="12" xfId="0" applyFont="1" applyBorder="1" applyAlignment="1">
      <alignment horizontal="justify" vertical="center" wrapText="1"/>
    </xf>
    <xf numFmtId="0" fontId="4" fillId="7" borderId="12" xfId="0" applyFont="1" applyFill="1" applyBorder="1" applyAlignment="1">
      <alignment horizontal="justify" vertical="center" wrapText="1"/>
    </xf>
    <xf numFmtId="0" fontId="4" fillId="0" borderId="12" xfId="0" applyFont="1" applyBorder="1" applyAlignment="1">
      <alignment horizontal="justify" vertical="center"/>
    </xf>
    <xf numFmtId="0" fontId="4" fillId="0" borderId="6" xfId="0" applyFont="1" applyBorder="1" applyAlignment="1">
      <alignment horizontal="justify" vertical="center" wrapText="1"/>
    </xf>
    <xf numFmtId="0" fontId="4" fillId="7" borderId="6" xfId="0" applyFont="1" applyFill="1" applyBorder="1" applyAlignment="1">
      <alignment horizontal="justify" vertical="center" wrapText="1"/>
    </xf>
    <xf numFmtId="0" fontId="4" fillId="0" borderId="6" xfId="0" applyFont="1" applyBorder="1" applyAlignment="1">
      <alignment horizontal="justify" vertical="center"/>
    </xf>
  </cellXfs>
  <cellStyles count="1">
    <cellStyle name="Normal" xfId="0" builtinId="0"/>
  </cellStyles>
  <dxfs count="130">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178654</xdr:rowOff>
    </xdr:from>
    <xdr:to>
      <xdr:col>0</xdr:col>
      <xdr:colOff>883103</xdr:colOff>
      <xdr:row>2</xdr:row>
      <xdr:rowOff>302479</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78654"/>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20Avila/Documents/4%20Riesgos/Mapas%20de%20Riesgos%20Guia%20V01/5%20Mapa_Riesgos%20Elecciones%20de%20Servidores%20P&#250;bl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8%20Mapa_Riesgos%20Talento%20Hum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_9_MR_Gestion%20%20Jurid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_11_Recursos%20Fisic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lina%20Avila/Documents/4%20Riesgos/Mapas%20de%20Riesgos%20Guia%20V01/12%20Mapa_%20Riesgos%20Sistemas%20y%20Seguridad%20de%20la%20Inform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2_14_MR_Gestion%20Financie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_15_MR_Evaluaci&#243;n%20Inde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F134"/>
  <sheetViews>
    <sheetView tabSelected="1" zoomScale="70" zoomScaleNormal="70" workbookViewId="0">
      <selection activeCell="G9" sqref="G9:G10"/>
    </sheetView>
  </sheetViews>
  <sheetFormatPr baseColWidth="10" defaultColWidth="11.44140625" defaultRowHeight="13.8" x14ac:dyDescent="0.3"/>
  <cols>
    <col min="1" max="1" width="14.33203125" style="6" customWidth="1"/>
    <col min="2" max="2" width="26" style="12" customWidth="1"/>
    <col min="3" max="4" width="25" style="6" customWidth="1"/>
    <col min="5" max="5" width="17.33203125" style="6" customWidth="1"/>
    <col min="6" max="6" width="33" style="6" customWidth="1"/>
    <col min="7" max="7" width="34" style="6" customWidth="1"/>
    <col min="8" max="8" width="23.88671875" style="6" customWidth="1"/>
    <col min="9" max="9" width="15.5546875" style="6" customWidth="1"/>
    <col min="10" max="10" width="16.88671875" style="9" customWidth="1"/>
    <col min="11" max="11" width="15.6640625" style="9" customWidth="1"/>
    <col min="12" max="12" width="5.44140625" style="6" customWidth="1"/>
    <col min="13" max="13" width="12.109375" style="6" customWidth="1"/>
    <col min="14" max="14" width="58.33203125" style="6" customWidth="1"/>
    <col min="15" max="15" width="15.33203125" style="6" customWidth="1"/>
    <col min="16" max="16" width="15.6640625" style="6" customWidth="1"/>
    <col min="17" max="17" width="14.6640625" style="6" customWidth="1"/>
    <col min="18" max="31" width="12.5546875" style="6" customWidth="1"/>
    <col min="32" max="32" width="13.88671875" style="6" customWidth="1"/>
    <col min="33" max="33" width="12.44140625" style="6" customWidth="1"/>
    <col min="34" max="35" width="16.5546875" style="6" customWidth="1"/>
    <col min="36" max="36" width="5.5546875" style="6" customWidth="1"/>
    <col min="37" max="37" width="25.33203125" style="6" customWidth="1"/>
    <col min="38" max="38" width="20.6640625" style="6" customWidth="1"/>
    <col min="39" max="39" width="27" style="6" customWidth="1"/>
    <col min="40" max="40" width="30" style="6" customWidth="1"/>
    <col min="41" max="42" width="20.6640625" style="6" customWidth="1"/>
    <col min="43" max="16384" width="11.44140625" style="6"/>
  </cols>
  <sheetData>
    <row r="1" spans="1:42" ht="30" customHeight="1" x14ac:dyDescent="0.3">
      <c r="A1" s="61"/>
      <c r="B1" s="50"/>
      <c r="C1" s="104" t="s">
        <v>97</v>
      </c>
      <c r="D1" s="105"/>
      <c r="E1" s="105"/>
      <c r="F1" s="105"/>
      <c r="G1" s="105"/>
      <c r="H1" s="105"/>
      <c r="I1" s="105"/>
      <c r="J1" s="105"/>
      <c r="K1" s="105"/>
      <c r="L1" s="105"/>
      <c r="M1" s="105"/>
      <c r="N1" s="106"/>
      <c r="O1" s="5"/>
      <c r="P1" s="5"/>
      <c r="Q1" s="5"/>
      <c r="R1" s="5"/>
      <c r="S1" s="5"/>
      <c r="T1" s="5"/>
      <c r="U1" s="5"/>
      <c r="V1" s="5"/>
      <c r="W1" s="5"/>
      <c r="X1" s="5"/>
      <c r="Y1" s="5"/>
      <c r="Z1" s="5"/>
      <c r="AA1" s="5"/>
      <c r="AB1" s="5"/>
      <c r="AC1" s="5"/>
      <c r="AD1" s="5"/>
      <c r="AE1" s="5"/>
      <c r="AF1" s="5"/>
      <c r="AG1" s="5"/>
      <c r="AH1" s="5"/>
      <c r="AI1" s="5"/>
      <c r="AJ1" s="5"/>
      <c r="AK1" s="5"/>
      <c r="AL1" s="5"/>
      <c r="AM1" s="5"/>
      <c r="AN1" s="5"/>
      <c r="AO1" s="13"/>
      <c r="AP1" s="13"/>
    </row>
    <row r="2" spans="1:42" ht="30" customHeight="1" x14ac:dyDescent="0.3">
      <c r="A2" s="61"/>
      <c r="B2" s="47"/>
      <c r="C2" s="83" t="s">
        <v>196</v>
      </c>
      <c r="D2" s="84"/>
      <c r="E2" s="84"/>
      <c r="F2" s="84"/>
      <c r="G2" s="84"/>
      <c r="H2" s="84"/>
      <c r="I2" s="84"/>
      <c r="J2" s="84"/>
      <c r="K2" s="84"/>
      <c r="L2" s="84"/>
      <c r="M2" s="84"/>
      <c r="N2" s="85"/>
      <c r="O2" s="5"/>
      <c r="P2" s="5"/>
      <c r="Q2" s="5"/>
      <c r="R2" s="5"/>
      <c r="S2" s="5"/>
      <c r="T2" s="5"/>
      <c r="U2" s="5"/>
      <c r="V2" s="5"/>
      <c r="W2" s="5"/>
      <c r="X2" s="5"/>
      <c r="Y2" s="5"/>
      <c r="Z2" s="5"/>
      <c r="AA2" s="5"/>
      <c r="AB2" s="5"/>
      <c r="AC2" s="5"/>
      <c r="AD2" s="5"/>
      <c r="AE2" s="5"/>
      <c r="AF2" s="5"/>
      <c r="AG2" s="5"/>
      <c r="AH2" s="5"/>
      <c r="AI2" s="5"/>
      <c r="AJ2" s="5"/>
      <c r="AK2" s="5"/>
      <c r="AL2" s="5"/>
      <c r="AM2" s="5"/>
      <c r="AN2" s="5"/>
      <c r="AO2" s="13"/>
      <c r="AP2" s="13"/>
    </row>
    <row r="3" spans="1:42" ht="30" customHeight="1" x14ac:dyDescent="0.3">
      <c r="A3" s="61"/>
      <c r="B3" s="48"/>
      <c r="C3" s="86"/>
      <c r="D3" s="87"/>
      <c r="E3" s="87"/>
      <c r="F3" s="87"/>
      <c r="G3" s="87"/>
      <c r="H3" s="87"/>
      <c r="I3" s="87"/>
      <c r="J3" s="87"/>
      <c r="K3" s="87"/>
      <c r="L3" s="87"/>
      <c r="M3" s="87"/>
      <c r="N3" s="88"/>
      <c r="O3" s="5"/>
      <c r="P3" s="5"/>
      <c r="Q3" s="5"/>
      <c r="R3" s="5"/>
      <c r="S3" s="5"/>
      <c r="T3" s="5"/>
      <c r="U3" s="5"/>
      <c r="V3" s="5"/>
      <c r="W3" s="5"/>
      <c r="X3" s="5"/>
      <c r="Y3" s="5"/>
      <c r="Z3" s="5"/>
      <c r="AA3" s="5"/>
      <c r="AB3" s="5"/>
      <c r="AC3" s="5"/>
      <c r="AD3" s="5"/>
      <c r="AE3" s="5"/>
      <c r="AF3" s="5"/>
      <c r="AG3" s="5"/>
      <c r="AH3" s="5"/>
      <c r="AI3" s="5"/>
      <c r="AJ3" s="5"/>
      <c r="AK3" s="5"/>
      <c r="AL3" s="5"/>
      <c r="AM3" s="5"/>
      <c r="AN3" s="5"/>
      <c r="AO3" s="13"/>
      <c r="AP3" s="13"/>
    </row>
    <row r="4" spans="1:42" x14ac:dyDescent="0.3">
      <c r="A4" s="7"/>
      <c r="B4" s="113"/>
      <c r="C4" s="8"/>
      <c r="D4" s="8"/>
      <c r="E4" s="8"/>
      <c r="F4" s="8"/>
      <c r="G4" s="8"/>
      <c r="J4" s="6"/>
      <c r="K4" s="6"/>
      <c r="Q4" s="5"/>
      <c r="R4" s="5"/>
      <c r="S4" s="5"/>
      <c r="T4" s="5"/>
      <c r="U4" s="5"/>
      <c r="V4" s="5"/>
      <c r="W4" s="5"/>
      <c r="X4" s="5"/>
      <c r="Y4" s="5"/>
      <c r="Z4" s="5"/>
      <c r="AA4" s="5"/>
      <c r="AB4" s="5"/>
      <c r="AC4" s="5"/>
      <c r="AD4" s="5"/>
      <c r="AE4" s="5"/>
      <c r="AF4" s="5"/>
      <c r="AG4" s="5"/>
      <c r="AH4" s="5"/>
      <c r="AI4" s="5"/>
      <c r="AJ4" s="5"/>
      <c r="AK4" s="5"/>
      <c r="AL4" s="5"/>
      <c r="AM4" s="5"/>
      <c r="AN4" s="5"/>
      <c r="AO4" s="13"/>
      <c r="AP4" s="13"/>
    </row>
    <row r="5" spans="1:42" s="9" customFormat="1" x14ac:dyDescent="0.3">
      <c r="A5" s="7"/>
      <c r="B5" s="113"/>
      <c r="C5" s="7"/>
      <c r="D5" s="7"/>
      <c r="E5" s="7"/>
      <c r="F5" s="7"/>
      <c r="G5" s="7"/>
      <c r="H5" s="7"/>
      <c r="I5" s="7"/>
      <c r="J5" s="7"/>
      <c r="K5" s="7"/>
      <c r="L5" s="7"/>
      <c r="M5" s="7"/>
      <c r="N5" s="7"/>
      <c r="O5" s="7"/>
      <c r="P5" s="7"/>
      <c r="Q5" s="7"/>
      <c r="R5" s="7"/>
      <c r="S5" s="7"/>
      <c r="T5" s="7"/>
      <c r="U5" s="7"/>
      <c r="V5" s="7"/>
      <c r="W5" s="7"/>
      <c r="X5" s="60"/>
      <c r="Y5" s="60"/>
      <c r="Z5" s="60"/>
      <c r="AA5" s="60"/>
      <c r="AB5" s="60"/>
      <c r="AC5" s="7"/>
      <c r="AD5" s="7"/>
      <c r="AE5" s="7"/>
      <c r="AF5" s="7"/>
      <c r="AG5" s="5"/>
      <c r="AH5" s="5"/>
      <c r="AI5" s="5"/>
      <c r="AJ5" s="5"/>
      <c r="AK5" s="5"/>
      <c r="AL5" s="5"/>
    </row>
    <row r="6" spans="1:42" s="9" customFormat="1" x14ac:dyDescent="0.3">
      <c r="A6" s="7"/>
      <c r="B6" s="113"/>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5"/>
      <c r="AH6" s="5"/>
      <c r="AI6" s="5"/>
      <c r="AJ6" s="5"/>
      <c r="AK6" s="5"/>
      <c r="AL6" s="5"/>
    </row>
    <row r="7" spans="1:42" s="9" customFormat="1" x14ac:dyDescent="0.3">
      <c r="B7" s="114"/>
      <c r="O7" s="35"/>
      <c r="P7" s="35"/>
      <c r="Q7" s="35"/>
      <c r="R7" s="35"/>
      <c r="S7" s="35"/>
      <c r="T7" s="35"/>
      <c r="U7" s="35"/>
      <c r="V7" s="35"/>
      <c r="W7" s="35"/>
      <c r="X7" s="35"/>
      <c r="Y7" s="35"/>
      <c r="Z7" s="35"/>
      <c r="AA7" s="35"/>
      <c r="AB7" s="35"/>
      <c r="AC7" s="35"/>
      <c r="AD7" s="35"/>
      <c r="AE7" s="35"/>
      <c r="AF7" s="35"/>
      <c r="AG7" s="5"/>
      <c r="AH7" s="5"/>
      <c r="AI7" s="5"/>
      <c r="AJ7" s="5"/>
      <c r="AK7" s="5"/>
      <c r="AL7" s="5"/>
    </row>
    <row r="8" spans="1:42" ht="15" customHeight="1" x14ac:dyDescent="0.3">
      <c r="C8" s="71" t="s">
        <v>12</v>
      </c>
      <c r="D8" s="72"/>
      <c r="E8" s="69" t="s">
        <v>13</v>
      </c>
      <c r="F8" s="69"/>
      <c r="G8" s="69"/>
      <c r="H8" s="69"/>
      <c r="I8" s="70"/>
      <c r="J8" s="73" t="s">
        <v>124</v>
      </c>
      <c r="K8" s="74"/>
      <c r="L8" s="74"/>
      <c r="M8" s="74"/>
      <c r="N8" s="52" t="s">
        <v>14</v>
      </c>
      <c r="O8" s="52"/>
      <c r="P8" s="52"/>
      <c r="Q8" s="52"/>
      <c r="R8" s="52"/>
      <c r="S8" s="52"/>
      <c r="T8" s="52"/>
      <c r="U8" s="52"/>
      <c r="V8" s="52"/>
      <c r="W8" s="52"/>
      <c r="X8" s="52"/>
      <c r="Y8" s="52"/>
      <c r="Z8" s="52"/>
      <c r="AA8" s="52"/>
      <c r="AB8" s="52"/>
      <c r="AC8" s="52"/>
      <c r="AD8" s="52"/>
      <c r="AE8" s="52"/>
      <c r="AF8" s="52"/>
      <c r="AG8" s="52"/>
      <c r="AH8" s="52"/>
      <c r="AI8" s="52"/>
      <c r="AJ8" s="52"/>
      <c r="AK8" s="53"/>
      <c r="AL8" s="56" t="s">
        <v>125</v>
      </c>
      <c r="AM8" s="57"/>
      <c r="AN8" s="57"/>
      <c r="AO8" s="57"/>
      <c r="AP8" s="57"/>
    </row>
    <row r="9" spans="1:42" s="10" customFormat="1" ht="15" customHeight="1" x14ac:dyDescent="0.3">
      <c r="A9" s="67" t="s">
        <v>99</v>
      </c>
      <c r="B9" s="42"/>
      <c r="C9" s="67" t="s">
        <v>43</v>
      </c>
      <c r="D9" s="67"/>
      <c r="E9" s="67" t="s">
        <v>127</v>
      </c>
      <c r="F9" s="67" t="s">
        <v>130</v>
      </c>
      <c r="G9" s="67" t="s">
        <v>123</v>
      </c>
      <c r="H9" s="67" t="s">
        <v>116</v>
      </c>
      <c r="I9" s="67" t="s">
        <v>42</v>
      </c>
      <c r="J9" s="66" t="s">
        <v>17</v>
      </c>
      <c r="K9" s="66" t="s">
        <v>18</v>
      </c>
      <c r="L9" s="66" t="s">
        <v>6</v>
      </c>
      <c r="M9" s="66"/>
      <c r="N9" s="67" t="s">
        <v>7</v>
      </c>
      <c r="O9" s="67" t="s">
        <v>8</v>
      </c>
      <c r="P9" s="67" t="s">
        <v>78</v>
      </c>
      <c r="Q9" s="67" t="s">
        <v>79</v>
      </c>
      <c r="R9" s="67" t="s">
        <v>27</v>
      </c>
      <c r="S9" s="67"/>
      <c r="T9" s="67"/>
      <c r="U9" s="67"/>
      <c r="V9" s="67"/>
      <c r="W9" s="67"/>
      <c r="X9" s="67"/>
      <c r="Y9" s="67"/>
      <c r="Z9" s="67"/>
      <c r="AA9" s="67"/>
      <c r="AB9" s="67"/>
      <c r="AC9" s="67"/>
      <c r="AD9" s="67"/>
      <c r="AE9" s="67"/>
      <c r="AF9" s="91" t="s">
        <v>36</v>
      </c>
      <c r="AG9" s="91" t="s">
        <v>77</v>
      </c>
      <c r="AH9" s="67" t="s">
        <v>48</v>
      </c>
      <c r="AI9" s="67" t="s">
        <v>49</v>
      </c>
      <c r="AJ9" s="67" t="s">
        <v>9</v>
      </c>
      <c r="AK9" s="67"/>
      <c r="AL9" s="54" t="s">
        <v>10</v>
      </c>
      <c r="AM9" s="58" t="s">
        <v>126</v>
      </c>
      <c r="AN9" s="59"/>
      <c r="AO9" s="59"/>
      <c r="AP9" s="59"/>
    </row>
    <row r="10" spans="1:42" s="10" customFormat="1" ht="106.5" customHeight="1" x14ac:dyDescent="0.3">
      <c r="A10" s="67" t="s">
        <v>47</v>
      </c>
      <c r="B10" s="42" t="s">
        <v>142</v>
      </c>
      <c r="C10" s="34" t="s">
        <v>122</v>
      </c>
      <c r="D10" s="34" t="s">
        <v>129</v>
      </c>
      <c r="E10" s="67"/>
      <c r="F10" s="67"/>
      <c r="G10" s="67"/>
      <c r="H10" s="67"/>
      <c r="I10" s="67"/>
      <c r="J10" s="66"/>
      <c r="K10" s="66"/>
      <c r="L10" s="66"/>
      <c r="M10" s="66"/>
      <c r="N10" s="67"/>
      <c r="O10" s="67"/>
      <c r="P10" s="67"/>
      <c r="Q10" s="67"/>
      <c r="R10" s="67" t="s">
        <v>55</v>
      </c>
      <c r="S10" s="67"/>
      <c r="T10" s="67" t="s">
        <v>56</v>
      </c>
      <c r="U10" s="67"/>
      <c r="V10" s="67" t="s">
        <v>57</v>
      </c>
      <c r="W10" s="67"/>
      <c r="X10" s="67" t="s">
        <v>58</v>
      </c>
      <c r="Y10" s="67"/>
      <c r="Z10" s="67" t="s">
        <v>59</v>
      </c>
      <c r="AA10" s="67"/>
      <c r="AB10" s="67" t="s">
        <v>60</v>
      </c>
      <c r="AC10" s="67"/>
      <c r="AD10" s="67" t="s">
        <v>61</v>
      </c>
      <c r="AE10" s="67"/>
      <c r="AF10" s="91"/>
      <c r="AG10" s="91"/>
      <c r="AH10" s="67"/>
      <c r="AI10" s="67"/>
      <c r="AJ10" s="67"/>
      <c r="AK10" s="67"/>
      <c r="AL10" s="55"/>
      <c r="AM10" s="37" t="s">
        <v>98</v>
      </c>
      <c r="AN10" s="37" t="s">
        <v>86</v>
      </c>
      <c r="AO10" s="38" t="s">
        <v>26</v>
      </c>
      <c r="AP10" s="37" t="s">
        <v>87</v>
      </c>
    </row>
    <row r="11" spans="1:42" s="11" customFormat="1" ht="34.5" customHeight="1" x14ac:dyDescent="0.3">
      <c r="A11" s="61">
        <v>1</v>
      </c>
      <c r="B11" s="68" t="s">
        <v>101</v>
      </c>
      <c r="C11" s="95"/>
      <c r="D11" s="95" t="s">
        <v>89</v>
      </c>
      <c r="E11" s="95" t="s">
        <v>132</v>
      </c>
      <c r="F11" s="92" t="s">
        <v>134</v>
      </c>
      <c r="G11" s="79" t="s">
        <v>135</v>
      </c>
      <c r="H11" s="77" t="s">
        <v>136</v>
      </c>
      <c r="I11" s="76" t="s">
        <v>128</v>
      </c>
      <c r="J11" s="81">
        <v>2</v>
      </c>
      <c r="K11" s="61">
        <v>3</v>
      </c>
      <c r="L11" s="65">
        <f>J11*K11</f>
        <v>6</v>
      </c>
      <c r="M11" s="75" t="str">
        <f>IF(AND(J11=1,K11=1),"BAJO",IF(AND(J11=1,K11=2),"BAJO",IF(AND(J11=2,K11=1),"BAJO",IF(AND(J11=2,K11=2),"BAJO",IF(AND(J11=3,K11=1),"BAJO",IF(AND(J11=1,K11=3),"MODERADO",IF(AND(J11=2,K11=3),"MODERADO",IF(AND(J11=3,K11=2),"MODERADO",IF(AND(J11=4,K11=1),"MODERADO",IF(AND(J11=5,K11=1),"ALTO",IF(AND(J11=4,K11=2),"ALTO",IF(AND(J11=3,K11=3),"ALTO",IF(AND(J11=2,K11=4),"ALTO",IF(AND(J11=1,K11=4),"ALTO",IF(AND(J11=5,K11=2),"ALTO",IF(AND(J11=4,K11=3),"ALTO","EXTREMO"))))))))))))))))</f>
        <v>MODERADO</v>
      </c>
      <c r="N11" s="95" t="s">
        <v>138</v>
      </c>
      <c r="O11" s="98" t="s">
        <v>0</v>
      </c>
      <c r="P11" s="95" t="s">
        <v>117</v>
      </c>
      <c r="Q11" s="95" t="s">
        <v>119</v>
      </c>
      <c r="R11" s="101" t="s">
        <v>111</v>
      </c>
      <c r="S11" s="101">
        <f>IF(R11="Asignado",Listas!$C$30,Listas!$C$31)</f>
        <v>15</v>
      </c>
      <c r="T11" s="101" t="s">
        <v>63</v>
      </c>
      <c r="U11" s="101">
        <f>IF(T11="Adecuado",Listas!$C$32,Listas!$C$33)</f>
        <v>15</v>
      </c>
      <c r="V11" s="101" t="s">
        <v>65</v>
      </c>
      <c r="W11" s="101">
        <f>IF(V11="Oportuna",Listas!$C$34,Listas!$C$35)</f>
        <v>15</v>
      </c>
      <c r="X11" s="101" t="s">
        <v>73</v>
      </c>
      <c r="Y11" s="101">
        <f>IF(X11="Prevenir",Listas!$C$36,IF(X11="Detectar",Listas!$C$37,Listas!$C$38))</f>
        <v>15</v>
      </c>
      <c r="Z11" s="101" t="s">
        <v>68</v>
      </c>
      <c r="AA11" s="101">
        <f>IF(Z11="Confiable",Listas!$C$39,Listas!$C$40)</f>
        <v>15</v>
      </c>
      <c r="AB11" s="101" t="s">
        <v>70</v>
      </c>
      <c r="AC11" s="101">
        <f>IF(AB11="Se investigan y resuelven oportunamente",Listas!$C$41,Listas!$C$42)</f>
        <v>15</v>
      </c>
      <c r="AD11" s="101" t="s">
        <v>72</v>
      </c>
      <c r="AE11" s="101">
        <f>IF(AD11="Completa",Listas!$C$43,IF(AD11="Incompleta",Listas!$C$44,Listas!$C$45))</f>
        <v>10</v>
      </c>
      <c r="AF11" s="98">
        <f>S11+U11+W11+Y11+AA11+AC11+AE11</f>
        <v>100</v>
      </c>
      <c r="AG11" s="61">
        <f>AVERAGE(AF11:AF15)</f>
        <v>100</v>
      </c>
      <c r="AH11" s="81">
        <v>1</v>
      </c>
      <c r="AI11" s="61">
        <v>3</v>
      </c>
      <c r="AJ11" s="65">
        <f>AH11*AI11</f>
        <v>3</v>
      </c>
      <c r="AK11" s="75" t="str">
        <f>IF(AND(AH11=1,AI11=1),"BAJO",IF(AND(AH11=1,AI11=2),"BAJO",IF(AND(AH11=2,AI11=1),"BAJO",IF(AND(AH11=2,AI11=2),"BAJO",IF(AND(AH11=3,AI11=1),"BAJO",IF(AND(AH11=1,AI11=3),"MODERADO",IF(AND(AH11=2,AI11=3),"MODERADO",IF(AND(AH11=3,AI11=2),"MODERADO",IF(AND(AH11=4,AI11=1),"MODERADO",IF(AND(AH11=5,AI11=1),"ALTO",IF(AND(AH11=4,AI11=2),"ALTO",IF(AND(AH11=3,AI11=3),"ALTO",IF(AND(AH11=2,AI11=4),"ALTO",IF(AND(AH11=1,AI11=4),"ALTO",IF(AND(AH11=5,AI11=2),"ALTO",IF(AND(AH11=4,AI11=3),"ALTO","EXTREMO"))))))))))))))))</f>
        <v>MODERADO</v>
      </c>
      <c r="AL11" s="82" t="s">
        <v>95</v>
      </c>
      <c r="AM11" s="62" t="s">
        <v>139</v>
      </c>
      <c r="AN11" s="62" t="s">
        <v>140</v>
      </c>
      <c r="AO11" s="62" t="s">
        <v>137</v>
      </c>
      <c r="AP11" s="62" t="s">
        <v>141</v>
      </c>
    </row>
    <row r="12" spans="1:42" s="11" customFormat="1" ht="34.5" customHeight="1" x14ac:dyDescent="0.3">
      <c r="A12" s="61"/>
      <c r="B12" s="68"/>
      <c r="C12" s="93"/>
      <c r="D12" s="93"/>
      <c r="E12" s="93"/>
      <c r="F12" s="93"/>
      <c r="G12" s="80"/>
      <c r="H12" s="78"/>
      <c r="I12" s="76"/>
      <c r="J12" s="81"/>
      <c r="K12" s="61"/>
      <c r="L12" s="65"/>
      <c r="M12" s="75"/>
      <c r="N12" s="93"/>
      <c r="O12" s="99"/>
      <c r="P12" s="93"/>
      <c r="Q12" s="93"/>
      <c r="R12" s="102"/>
      <c r="S12" s="102"/>
      <c r="T12" s="102"/>
      <c r="U12" s="102"/>
      <c r="V12" s="102"/>
      <c r="W12" s="102"/>
      <c r="X12" s="102"/>
      <c r="Y12" s="102"/>
      <c r="Z12" s="102"/>
      <c r="AA12" s="102"/>
      <c r="AB12" s="102"/>
      <c r="AC12" s="102"/>
      <c r="AD12" s="102"/>
      <c r="AE12" s="102"/>
      <c r="AF12" s="99"/>
      <c r="AG12" s="61"/>
      <c r="AH12" s="81"/>
      <c r="AI12" s="61"/>
      <c r="AJ12" s="65"/>
      <c r="AK12" s="75"/>
      <c r="AL12" s="82"/>
      <c r="AM12" s="63"/>
      <c r="AN12" s="63"/>
      <c r="AO12" s="63"/>
      <c r="AP12" s="63"/>
    </row>
    <row r="13" spans="1:42" s="11" customFormat="1" ht="34.5" customHeight="1" x14ac:dyDescent="0.3">
      <c r="A13" s="61"/>
      <c r="B13" s="68"/>
      <c r="C13" s="93"/>
      <c r="D13" s="93"/>
      <c r="E13" s="93"/>
      <c r="F13" s="93"/>
      <c r="G13" s="80"/>
      <c r="H13" s="78"/>
      <c r="I13" s="76"/>
      <c r="J13" s="81"/>
      <c r="K13" s="61"/>
      <c r="L13" s="65"/>
      <c r="M13" s="75"/>
      <c r="N13" s="93"/>
      <c r="O13" s="99"/>
      <c r="P13" s="93"/>
      <c r="Q13" s="93"/>
      <c r="R13" s="102"/>
      <c r="S13" s="102"/>
      <c r="T13" s="102"/>
      <c r="U13" s="102"/>
      <c r="V13" s="102"/>
      <c r="W13" s="102"/>
      <c r="X13" s="102"/>
      <c r="Y13" s="102"/>
      <c r="Z13" s="102"/>
      <c r="AA13" s="102"/>
      <c r="AB13" s="102"/>
      <c r="AC13" s="102"/>
      <c r="AD13" s="102"/>
      <c r="AE13" s="102"/>
      <c r="AF13" s="99"/>
      <c r="AG13" s="61"/>
      <c r="AH13" s="81"/>
      <c r="AI13" s="61"/>
      <c r="AJ13" s="65"/>
      <c r="AK13" s="75"/>
      <c r="AL13" s="82"/>
      <c r="AM13" s="63"/>
      <c r="AN13" s="63"/>
      <c r="AO13" s="63"/>
      <c r="AP13" s="63"/>
    </row>
    <row r="14" spans="1:42" s="11" customFormat="1" ht="34.5" customHeight="1" x14ac:dyDescent="0.3">
      <c r="A14" s="61"/>
      <c r="B14" s="68"/>
      <c r="C14" s="93"/>
      <c r="D14" s="93"/>
      <c r="E14" s="93"/>
      <c r="F14" s="93"/>
      <c r="G14" s="80"/>
      <c r="H14" s="78"/>
      <c r="I14" s="76"/>
      <c r="J14" s="81"/>
      <c r="K14" s="61"/>
      <c r="L14" s="65"/>
      <c r="M14" s="75"/>
      <c r="N14" s="93"/>
      <c r="O14" s="99"/>
      <c r="P14" s="93"/>
      <c r="Q14" s="93"/>
      <c r="R14" s="102"/>
      <c r="S14" s="102"/>
      <c r="T14" s="102"/>
      <c r="U14" s="102"/>
      <c r="V14" s="102"/>
      <c r="W14" s="102"/>
      <c r="X14" s="102"/>
      <c r="Y14" s="102"/>
      <c r="Z14" s="102"/>
      <c r="AA14" s="102"/>
      <c r="AB14" s="102"/>
      <c r="AC14" s="102"/>
      <c r="AD14" s="102"/>
      <c r="AE14" s="102"/>
      <c r="AF14" s="99"/>
      <c r="AG14" s="61"/>
      <c r="AH14" s="81"/>
      <c r="AI14" s="61"/>
      <c r="AJ14" s="65"/>
      <c r="AK14" s="75"/>
      <c r="AL14" s="82"/>
      <c r="AM14" s="63"/>
      <c r="AN14" s="63"/>
      <c r="AO14" s="63"/>
      <c r="AP14" s="63"/>
    </row>
    <row r="15" spans="1:42" s="11" customFormat="1" ht="34.5" customHeight="1" x14ac:dyDescent="0.3">
      <c r="A15" s="61"/>
      <c r="B15" s="68"/>
      <c r="C15" s="94"/>
      <c r="D15" s="94"/>
      <c r="E15" s="94"/>
      <c r="F15" s="94"/>
      <c r="G15" s="80"/>
      <c r="H15" s="78"/>
      <c r="I15" s="76"/>
      <c r="J15" s="81"/>
      <c r="K15" s="61"/>
      <c r="L15" s="65"/>
      <c r="M15" s="75"/>
      <c r="N15" s="94"/>
      <c r="O15" s="100"/>
      <c r="P15" s="94"/>
      <c r="Q15" s="94"/>
      <c r="R15" s="103"/>
      <c r="S15" s="103"/>
      <c r="T15" s="103"/>
      <c r="U15" s="103"/>
      <c r="V15" s="103"/>
      <c r="W15" s="103"/>
      <c r="X15" s="103"/>
      <c r="Y15" s="103"/>
      <c r="Z15" s="103"/>
      <c r="AA15" s="103"/>
      <c r="AB15" s="103"/>
      <c r="AC15" s="103"/>
      <c r="AD15" s="103"/>
      <c r="AE15" s="103"/>
      <c r="AF15" s="100"/>
      <c r="AG15" s="61"/>
      <c r="AH15" s="81"/>
      <c r="AI15" s="61"/>
      <c r="AJ15" s="65"/>
      <c r="AK15" s="75"/>
      <c r="AL15" s="82"/>
      <c r="AM15" s="64"/>
      <c r="AN15" s="64"/>
      <c r="AO15" s="64"/>
      <c r="AP15" s="64"/>
    </row>
    <row r="16" spans="1:42" ht="69" x14ac:dyDescent="0.3">
      <c r="A16" s="61">
        <v>2</v>
      </c>
      <c r="B16" s="61" t="s">
        <v>103</v>
      </c>
      <c r="C16" s="44" t="s">
        <v>50</v>
      </c>
      <c r="D16" s="95"/>
      <c r="E16" s="95" t="s">
        <v>132</v>
      </c>
      <c r="F16" s="115" t="s">
        <v>143</v>
      </c>
      <c r="G16" s="116" t="s">
        <v>144</v>
      </c>
      <c r="H16" s="117" t="s">
        <v>145</v>
      </c>
      <c r="I16" s="118" t="s">
        <v>146</v>
      </c>
      <c r="J16" s="98">
        <v>1</v>
      </c>
      <c r="K16" s="98">
        <v>4</v>
      </c>
      <c r="L16" s="119">
        <f t="shared" ref="L16:L17" si="0">J16*K16</f>
        <v>4</v>
      </c>
      <c r="M16" s="120" t="str">
        <f t="shared" ref="M16:M17" si="1">IF(AND(J16=1,K16=1),"BAJO",IF(AND(J16=1,K16=2),"BAJO",IF(AND(J16=2,K16=1),"BAJO",IF(AND(J16=2,K16=2),"BAJO",IF(AND(J16=3,K16=1),"BAJO",IF(AND(J16=1,K16=3),"MODERADO",IF(AND(J16=2,K16=3),"MODERADO",IF(AND(J16=3,K16=2),"MODERADO",IF(AND(J16=4,K16=1),"MODERADO",IF(AND(J16=5,K16=1),"ALTO",IF(AND(J16=4,K16=2),"ALTO",IF(AND(J16=3,K16=3),"ALTO",IF(AND(J16=2,K16=4),"ALTO",IF(AND(J16=1,K16=4),"ALTO",IF(AND(J16=5,K16=2),"ALTO",IF(AND(J16=4,K16=3),"ALTO","EXTREMO"))))))))))))))))</f>
        <v>ALTO</v>
      </c>
      <c r="N16" s="116" t="s">
        <v>147</v>
      </c>
      <c r="O16" s="98" t="s">
        <v>0</v>
      </c>
      <c r="P16" s="95" t="s">
        <v>117</v>
      </c>
      <c r="Q16" s="95" t="s">
        <v>119</v>
      </c>
      <c r="R16" s="95" t="s">
        <v>111</v>
      </c>
      <c r="S16" s="95">
        <v>15</v>
      </c>
      <c r="T16" s="95" t="s">
        <v>63</v>
      </c>
      <c r="U16" s="95">
        <v>15</v>
      </c>
      <c r="V16" s="95" t="s">
        <v>65</v>
      </c>
      <c r="W16" s="95">
        <v>15</v>
      </c>
      <c r="X16" s="95" t="s">
        <v>73</v>
      </c>
      <c r="Y16" s="95">
        <v>15</v>
      </c>
      <c r="Z16" s="95" t="s">
        <v>68</v>
      </c>
      <c r="AA16" s="95">
        <v>15</v>
      </c>
      <c r="AB16" s="95" t="s">
        <v>70</v>
      </c>
      <c r="AC16" s="95">
        <v>15</v>
      </c>
      <c r="AD16" s="95" t="s">
        <v>72</v>
      </c>
      <c r="AE16" s="95">
        <v>10</v>
      </c>
      <c r="AF16" s="98">
        <v>100</v>
      </c>
      <c r="AG16" s="98">
        <v>100</v>
      </c>
      <c r="AH16" s="98">
        <v>1</v>
      </c>
      <c r="AI16" s="98">
        <v>4</v>
      </c>
      <c r="AJ16" s="65">
        <f t="shared" ref="AJ16" si="2">AH16*AI16</f>
        <v>4</v>
      </c>
      <c r="AK16" s="121" t="str">
        <f t="shared" ref="AK16:AK17" si="3">IF(AND(AH16=1,AI16=1),"BAJO",IF(AND(AH16=1,AI16=2),"BAJO",IF(AND(AH16=2,AI16=1),"BAJO",IF(AND(AH16=2,AI16=2),"BAJO",IF(AND(AH16=3,AI16=1),"BAJO",IF(AND(AH16=1,AI16=3),"MODERADO",IF(AND(AH16=2,AI16=3),"MODERADO",IF(AND(AH16=3,AI16=2),"MODERADO",IF(AND(AH16=4,AI16=1),"MODERADO",IF(AND(AH16=5,AI16=1),"ALTO",IF(AND(AH16=4,AI16=2),"ALTO",IF(AND(AH16=3,AI16=3),"ALTO",IF(AND(AH16=2,AI16=4),"ALTO",IF(AND(AH16=1,AI16=4),"ALTO",IF(AND(AH16=5,AI16=2),"ALTO",IF(AND(AH16=4,AI16=3),"ALTO","EXTREMO"))))))))))))))))</f>
        <v>ALTO</v>
      </c>
      <c r="AL16" s="95" t="s">
        <v>95</v>
      </c>
      <c r="AM16" s="95" t="s">
        <v>148</v>
      </c>
      <c r="AN16" s="95" t="s">
        <v>149</v>
      </c>
      <c r="AO16" s="95" t="s">
        <v>150</v>
      </c>
      <c r="AP16" s="95" t="s">
        <v>151</v>
      </c>
    </row>
    <row r="17" spans="1:58" ht="41.4" x14ac:dyDescent="0.3">
      <c r="A17" s="61"/>
      <c r="B17" s="61"/>
      <c r="C17" s="44" t="s">
        <v>52</v>
      </c>
      <c r="D17" s="95"/>
      <c r="E17" s="93"/>
      <c r="F17" s="115" t="s">
        <v>152</v>
      </c>
      <c r="G17" s="116"/>
      <c r="H17" s="117"/>
      <c r="I17" s="118"/>
      <c r="J17" s="98"/>
      <c r="K17" s="99"/>
      <c r="L17" s="122"/>
      <c r="M17" s="123"/>
      <c r="N17" s="116"/>
      <c r="O17" s="98"/>
      <c r="P17" s="95"/>
      <c r="Q17" s="95"/>
      <c r="R17" s="95"/>
      <c r="S17" s="93"/>
      <c r="T17" s="93"/>
      <c r="U17" s="93"/>
      <c r="V17" s="93"/>
      <c r="W17" s="95"/>
      <c r="X17" s="95"/>
      <c r="Y17" s="95"/>
      <c r="Z17" s="95"/>
      <c r="AA17" s="95"/>
      <c r="AB17" s="95"/>
      <c r="AC17" s="95"/>
      <c r="AD17" s="95"/>
      <c r="AE17" s="95"/>
      <c r="AF17" s="98"/>
      <c r="AG17" s="98"/>
      <c r="AH17" s="98"/>
      <c r="AI17" s="99"/>
      <c r="AJ17" s="119"/>
      <c r="AK17" s="120"/>
      <c r="AL17" s="95"/>
      <c r="AM17" s="95"/>
      <c r="AN17" s="93"/>
      <c r="AO17" s="95"/>
      <c r="AP17" s="95"/>
    </row>
    <row r="18" spans="1:58" ht="82.8" x14ac:dyDescent="0.3">
      <c r="A18" s="61"/>
      <c r="B18" s="61"/>
      <c r="C18" s="44" t="s">
        <v>52</v>
      </c>
      <c r="D18" s="94"/>
      <c r="E18" s="94"/>
      <c r="F18" s="115" t="s">
        <v>153</v>
      </c>
      <c r="G18" s="124"/>
      <c r="H18" s="125"/>
      <c r="I18" s="126"/>
      <c r="J18" s="100"/>
      <c r="K18" s="100"/>
      <c r="L18" s="127"/>
      <c r="M18" s="128"/>
      <c r="N18" s="124"/>
      <c r="O18" s="100"/>
      <c r="P18" s="94"/>
      <c r="Q18" s="94"/>
      <c r="R18" s="94"/>
      <c r="S18" s="94"/>
      <c r="T18" s="94"/>
      <c r="U18" s="94"/>
      <c r="V18" s="94"/>
      <c r="W18" s="94"/>
      <c r="X18" s="94"/>
      <c r="Y18" s="94"/>
      <c r="Z18" s="94"/>
      <c r="AA18" s="94"/>
      <c r="AB18" s="94"/>
      <c r="AC18" s="94"/>
      <c r="AD18" s="94"/>
      <c r="AE18" s="94"/>
      <c r="AF18" s="100"/>
      <c r="AG18" s="100"/>
      <c r="AH18" s="100"/>
      <c r="AI18" s="100"/>
      <c r="AJ18" s="127"/>
      <c r="AK18" s="128"/>
      <c r="AL18" s="94"/>
      <c r="AM18" s="94"/>
      <c r="AN18" s="94"/>
      <c r="AO18" s="94"/>
      <c r="AP18" s="94"/>
    </row>
    <row r="19" spans="1:58" ht="179.4" x14ac:dyDescent="0.3">
      <c r="A19" s="40">
        <v>3</v>
      </c>
      <c r="B19" s="44" t="s">
        <v>103</v>
      </c>
      <c r="C19" s="44" t="s">
        <v>52</v>
      </c>
      <c r="D19" s="44"/>
      <c r="E19" s="39" t="s">
        <v>132</v>
      </c>
      <c r="F19" s="46" t="s">
        <v>154</v>
      </c>
      <c r="G19" s="129" t="s">
        <v>155</v>
      </c>
      <c r="H19" s="130" t="s">
        <v>156</v>
      </c>
      <c r="I19" s="46" t="s">
        <v>146</v>
      </c>
      <c r="J19" s="40">
        <v>1</v>
      </c>
      <c r="K19" s="40">
        <v>4</v>
      </c>
      <c r="L19" s="41">
        <f t="shared" ref="L19:L20" si="4">J19*K19</f>
        <v>4</v>
      </c>
      <c r="M19" s="36" t="str">
        <f t="shared" ref="M19:M20" si="5">IF(AND(J19=1,K19=1),"BAJO",IF(AND(J19=1,K19=2),"BAJO",IF(AND(J19=2,K19=1),"BAJO",IF(AND(J19=2,K19=2),"BAJO",IF(AND(J19=3,K19=1),"BAJO",IF(AND(J19=1,K19=3),"MODERADO",IF(AND(J19=2,K19=3),"MODERADO",IF(AND(J19=3,K19=2),"MODERADO",IF(AND(J19=4,K19=1),"MODERADO",IF(AND(J19=5,K19=1),"ALTO",IF(AND(J19=4,K19=2),"ALTO",IF(AND(J19=3,K19=3),"ALTO",IF(AND(J19=2,K19=4),"ALTO",IF(AND(J19=1,K19=4),"ALTO",IF(AND(J19=5,K19=2),"ALTO",IF(AND(J19=4,K19=3),"ALTO","EXTREMO"))))))))))))))))</f>
        <v>ALTO</v>
      </c>
      <c r="N19" s="49" t="s">
        <v>157</v>
      </c>
      <c r="O19" s="40" t="s">
        <v>0</v>
      </c>
      <c r="P19" s="44" t="s">
        <v>117</v>
      </c>
      <c r="Q19" s="44" t="s">
        <v>119</v>
      </c>
      <c r="R19" s="131" t="s">
        <v>111</v>
      </c>
      <c r="S19" s="43">
        <v>15</v>
      </c>
      <c r="T19" s="131" t="s">
        <v>63</v>
      </c>
      <c r="U19" s="43">
        <v>15</v>
      </c>
      <c r="V19" s="131" t="s">
        <v>65</v>
      </c>
      <c r="W19" s="43">
        <v>15</v>
      </c>
      <c r="X19" s="131" t="s">
        <v>73</v>
      </c>
      <c r="Y19" s="43">
        <v>15</v>
      </c>
      <c r="Z19" s="131" t="s">
        <v>68</v>
      </c>
      <c r="AA19" s="43">
        <v>15</v>
      </c>
      <c r="AB19" s="131" t="s">
        <v>70</v>
      </c>
      <c r="AC19" s="43">
        <v>15</v>
      </c>
      <c r="AD19" s="131" t="s">
        <v>72</v>
      </c>
      <c r="AE19" s="43">
        <v>10</v>
      </c>
      <c r="AF19" s="40">
        <v>100</v>
      </c>
      <c r="AG19" s="43">
        <v>100</v>
      </c>
      <c r="AH19" s="40">
        <v>1</v>
      </c>
      <c r="AI19" s="40">
        <v>4</v>
      </c>
      <c r="AJ19" s="41">
        <f t="shared" ref="AJ19:AJ20" si="6">AH19*AI19</f>
        <v>4</v>
      </c>
      <c r="AK19" s="36" t="str">
        <f t="shared" ref="AK19:AK20" si="7">IF(AND(AH19=1,AI19=1),"BAJO",IF(AND(AH19=1,AI19=2),"BAJO",IF(AND(AH19=2,AI19=1),"BAJO",IF(AND(AH19=2,AI19=2),"BAJO",IF(AND(AH19=3,AI19=1),"BAJO",IF(AND(AH19=1,AI19=3),"MODERADO",IF(AND(AH19=2,AI19=3),"MODERADO",IF(AND(AH19=3,AI19=2),"MODERADO",IF(AND(AH19=4,AI19=1),"MODERADO",IF(AND(AH19=5,AI19=1),"ALTO",IF(AND(AH19=4,AI19=2),"ALTO",IF(AND(AH19=3,AI19=3),"ALTO",IF(AND(AH19=2,AI19=4),"ALTO",IF(AND(AH19=1,AI19=4),"ALTO",IF(AND(AH19=5,AI19=2),"ALTO",IF(AND(AH19=4,AI19=3),"ALTO","EXTREMO"))))))))))))))))</f>
        <v>ALTO</v>
      </c>
      <c r="AL19" s="43" t="s">
        <v>95</v>
      </c>
      <c r="AM19" s="112" t="s">
        <v>158</v>
      </c>
      <c r="AN19" s="112" t="s">
        <v>159</v>
      </c>
      <c r="AO19" s="112" t="s">
        <v>160</v>
      </c>
      <c r="AP19" s="112" t="s">
        <v>161</v>
      </c>
    </row>
    <row r="20" spans="1:58" ht="41.4" x14ac:dyDescent="0.3">
      <c r="A20" s="61">
        <v>4</v>
      </c>
      <c r="B20" s="61" t="s">
        <v>103</v>
      </c>
      <c r="C20" s="44" t="s">
        <v>52</v>
      </c>
      <c r="D20" s="68"/>
      <c r="E20" s="68" t="s">
        <v>132</v>
      </c>
      <c r="F20" s="132" t="s">
        <v>162</v>
      </c>
      <c r="G20" s="133" t="s">
        <v>163</v>
      </c>
      <c r="H20" s="134" t="s">
        <v>145</v>
      </c>
      <c r="I20" s="51" t="s">
        <v>146</v>
      </c>
      <c r="J20" s="61">
        <v>1</v>
      </c>
      <c r="K20" s="61">
        <v>4</v>
      </c>
      <c r="L20" s="65">
        <f t="shared" si="4"/>
        <v>4</v>
      </c>
      <c r="M20" s="121" t="str">
        <f t="shared" si="5"/>
        <v>ALTO</v>
      </c>
      <c r="N20" s="79" t="s">
        <v>164</v>
      </c>
      <c r="O20" s="61" t="s">
        <v>0</v>
      </c>
      <c r="P20" s="68" t="s">
        <v>117</v>
      </c>
      <c r="Q20" s="68" t="s">
        <v>119</v>
      </c>
      <c r="R20" s="82" t="s">
        <v>111</v>
      </c>
      <c r="S20" s="82">
        <v>15</v>
      </c>
      <c r="T20" s="82" t="s">
        <v>63</v>
      </c>
      <c r="U20" s="82">
        <v>15</v>
      </c>
      <c r="V20" s="82" t="s">
        <v>65</v>
      </c>
      <c r="W20" s="82">
        <v>15</v>
      </c>
      <c r="X20" s="82" t="s">
        <v>73</v>
      </c>
      <c r="Y20" s="82">
        <v>15</v>
      </c>
      <c r="Z20" s="82" t="s">
        <v>68</v>
      </c>
      <c r="AA20" s="82">
        <v>15</v>
      </c>
      <c r="AB20" s="82" t="s">
        <v>70</v>
      </c>
      <c r="AC20" s="82">
        <v>15</v>
      </c>
      <c r="AD20" s="82" t="s">
        <v>72</v>
      </c>
      <c r="AE20" s="82">
        <v>10</v>
      </c>
      <c r="AF20" s="61">
        <v>100</v>
      </c>
      <c r="AG20" s="82">
        <v>100</v>
      </c>
      <c r="AH20" s="61">
        <v>1</v>
      </c>
      <c r="AI20" s="61">
        <v>4</v>
      </c>
      <c r="AJ20" s="65">
        <f t="shared" si="6"/>
        <v>4</v>
      </c>
      <c r="AK20" s="121" t="str">
        <f t="shared" si="7"/>
        <v>ALTO</v>
      </c>
      <c r="AL20" s="82" t="s">
        <v>95</v>
      </c>
      <c r="AM20" s="68" t="s">
        <v>165</v>
      </c>
      <c r="AN20" s="68" t="s">
        <v>166</v>
      </c>
      <c r="AO20" s="68" t="s">
        <v>167</v>
      </c>
      <c r="AP20" s="68" t="s">
        <v>168</v>
      </c>
    </row>
    <row r="21" spans="1:58" ht="27.6" x14ac:dyDescent="0.3">
      <c r="A21" s="61"/>
      <c r="B21" s="61"/>
      <c r="C21" s="44" t="s">
        <v>52</v>
      </c>
      <c r="D21" s="68"/>
      <c r="E21" s="68"/>
      <c r="F21" s="132" t="s">
        <v>169</v>
      </c>
      <c r="G21" s="133"/>
      <c r="H21" s="134"/>
      <c r="I21" s="51"/>
      <c r="J21" s="61"/>
      <c r="K21" s="61"/>
      <c r="L21" s="65"/>
      <c r="M21" s="121"/>
      <c r="N21" s="79"/>
      <c r="O21" s="61"/>
      <c r="P21" s="68"/>
      <c r="Q21" s="68"/>
      <c r="R21" s="82"/>
      <c r="S21" s="82"/>
      <c r="T21" s="82"/>
      <c r="U21" s="82"/>
      <c r="V21" s="82"/>
      <c r="W21" s="82"/>
      <c r="X21" s="82"/>
      <c r="Y21" s="82"/>
      <c r="Z21" s="82"/>
      <c r="AA21" s="82"/>
      <c r="AB21" s="82"/>
      <c r="AC21" s="82"/>
      <c r="AD21" s="82"/>
      <c r="AE21" s="82"/>
      <c r="AF21" s="61"/>
      <c r="AG21" s="82"/>
      <c r="AH21" s="61"/>
      <c r="AI21" s="61"/>
      <c r="AJ21" s="65"/>
      <c r="AK21" s="121"/>
      <c r="AL21" s="82"/>
      <c r="AM21" s="68"/>
      <c r="AN21" s="68"/>
      <c r="AO21" s="68"/>
      <c r="AP21" s="68"/>
    </row>
    <row r="22" spans="1:58" ht="27.6" x14ac:dyDescent="0.3">
      <c r="A22" s="61"/>
      <c r="B22" s="61"/>
      <c r="C22" s="44" t="s">
        <v>52</v>
      </c>
      <c r="D22" s="68"/>
      <c r="E22" s="68"/>
      <c r="F22" s="46" t="s">
        <v>170</v>
      </c>
      <c r="G22" s="133"/>
      <c r="H22" s="134"/>
      <c r="I22" s="51"/>
      <c r="J22" s="61"/>
      <c r="K22" s="61"/>
      <c r="L22" s="65"/>
      <c r="M22" s="121"/>
      <c r="N22" s="79"/>
      <c r="O22" s="61"/>
      <c r="P22" s="68"/>
      <c r="Q22" s="68"/>
      <c r="R22" s="82"/>
      <c r="S22" s="82"/>
      <c r="T22" s="82"/>
      <c r="U22" s="82"/>
      <c r="V22" s="82"/>
      <c r="W22" s="82"/>
      <c r="X22" s="82"/>
      <c r="Y22" s="82"/>
      <c r="Z22" s="82"/>
      <c r="AA22" s="82"/>
      <c r="AB22" s="82"/>
      <c r="AC22" s="82"/>
      <c r="AD22" s="82"/>
      <c r="AE22" s="82"/>
      <c r="AF22" s="61"/>
      <c r="AG22" s="82"/>
      <c r="AH22" s="61"/>
      <c r="AI22" s="61"/>
      <c r="AJ22" s="65"/>
      <c r="AK22" s="121"/>
      <c r="AL22" s="82"/>
      <c r="AM22" s="68"/>
      <c r="AN22" s="68"/>
      <c r="AO22" s="68"/>
      <c r="AP22" s="68"/>
    </row>
    <row r="23" spans="1:58" ht="81" customHeight="1" x14ac:dyDescent="0.3">
      <c r="A23" s="61">
        <v>5</v>
      </c>
      <c r="B23" s="68" t="s">
        <v>180</v>
      </c>
      <c r="C23" s="68" t="s">
        <v>53</v>
      </c>
      <c r="D23" s="68" t="s">
        <v>89</v>
      </c>
      <c r="E23" s="68" t="s">
        <v>132</v>
      </c>
      <c r="F23" s="135" t="s">
        <v>171</v>
      </c>
      <c r="G23" s="79" t="s">
        <v>172</v>
      </c>
      <c r="H23" s="136" t="s">
        <v>173</v>
      </c>
      <c r="I23" s="68" t="s">
        <v>146</v>
      </c>
      <c r="J23" s="61">
        <v>1</v>
      </c>
      <c r="K23" s="61">
        <v>5</v>
      </c>
      <c r="L23" s="65">
        <f t="shared" ref="L23" si="8">J23*K23</f>
        <v>5</v>
      </c>
      <c r="M23" s="121" t="str">
        <f t="shared" ref="M23" si="9">IF(AND(J23=1,K23=1),"BAJO",IF(AND(J23=1,K23=2),"BAJO",IF(AND(J23=2,K23=1),"BAJO",IF(AND(J23=2,K23=2),"BAJO",IF(AND(J23=3,K23=1),"BAJO",IF(AND(J23=1,K23=3),"MODERADO",IF(AND(J23=2,K23=3),"MODERADO",IF(AND(J23=3,K23=2),"MODERADO",IF(AND(J23=4,K23=1),"MODERADO",IF(AND(J23=5,K23=1),"ALTO",IF(AND(J23=4,K23=2),"ALTO",IF(AND(J23=3,K23=3),"ALTO",IF(AND(J23=2,K23=4),"ALTO",IF(AND(J23=1,K23=4),"ALTO",IF(AND(J23=5,K23=2),"ALTO",IF(AND(J23=4,K23=3),"ALTO","EXTREMO"))))))))))))))))</f>
        <v>EXTREMO</v>
      </c>
      <c r="N23" s="137" t="s">
        <v>174</v>
      </c>
      <c r="O23" s="61" t="s">
        <v>0</v>
      </c>
      <c r="P23" s="68" t="s">
        <v>117</v>
      </c>
      <c r="Q23" s="68" t="s">
        <v>118</v>
      </c>
      <c r="R23" s="82" t="s">
        <v>111</v>
      </c>
      <c r="S23" s="82">
        <f>IF(R23="Asignado",[1]Listas!$C$30,[1]Listas!$C$31)</f>
        <v>15</v>
      </c>
      <c r="T23" s="82" t="s">
        <v>63</v>
      </c>
      <c r="U23" s="82">
        <f>IF(T23="Adecuado",[1]Listas!$C$32,[1]Listas!$C$33)</f>
        <v>15</v>
      </c>
      <c r="V23" s="82" t="s">
        <v>65</v>
      </c>
      <c r="W23" s="82">
        <f>IF(V23="Oportuna",[1]Listas!$C$34,[1]Listas!$C$35)</f>
        <v>15</v>
      </c>
      <c r="X23" s="82" t="s">
        <v>73</v>
      </c>
      <c r="Y23" s="82">
        <f>IF(X23="Prevenir",[1]Listas!$C$36,IF(X23="Detectar",[1]Listas!$C$37,[1]Listas!$C$38))</f>
        <v>15</v>
      </c>
      <c r="Z23" s="82" t="s">
        <v>68</v>
      </c>
      <c r="AA23" s="82">
        <f>IF(Z23="Confiable",[1]Listas!$C$39,[1]Listas!$C$40)</f>
        <v>15</v>
      </c>
      <c r="AB23" s="82" t="s">
        <v>70</v>
      </c>
      <c r="AC23" s="82">
        <f>IF(AB23="Se investigan y resuelven oportunamente",[1]Listas!$C$41,[1]Listas!$C$42)</f>
        <v>15</v>
      </c>
      <c r="AD23" s="82" t="s">
        <v>72</v>
      </c>
      <c r="AE23" s="82">
        <f>IF(AD23="Completa",[1]Listas!$C$43,IF(AD23="Incompleta",[1]Listas!$C$44,[1]Listas!$C$45))</f>
        <v>10</v>
      </c>
      <c r="AF23" s="61">
        <f t="shared" ref="AF23" si="10">S23+U23+W23+Y23+AA23+AC23+AE23</f>
        <v>100</v>
      </c>
      <c r="AG23" s="61">
        <f>AVERAGE(AF23:AF23)</f>
        <v>100</v>
      </c>
      <c r="AH23" s="61">
        <v>1</v>
      </c>
      <c r="AI23" s="61">
        <v>3</v>
      </c>
      <c r="AJ23" s="65">
        <f>+AH23*AI23</f>
        <v>3</v>
      </c>
      <c r="AK23" s="121" t="str">
        <f t="shared" ref="AK23" si="11">IF(AND(AH23=1,AI23=1),"BAJO",IF(AND(AH23=1,AI23=2),"BAJO",IF(AND(AH23=2,AI23=1),"BAJO",IF(AND(AH23=2,AI23=2),"BAJO",IF(AND(AH23=3,AI23=1),"BAJO",IF(AND(AH23=1,AI23=3),"MODERADO",IF(AND(AH23=2,AI23=3),"MODERADO",IF(AND(AH23=3,AI23=2),"MODERADO",IF(AND(AH23=4,AI23=1),"MODERADO",IF(AND(AH23=5,AI23=1),"ALTO",IF(AND(AH23=4,AI23=2),"ALTO",IF(AND(AH23=3,AI23=3),"ALTO",IF(AND(AH23=2,AI23=4),"ALTO",IF(AND(AH23=1,AI23=4),"ALTO",IF(AND(AH23=5,AI23=2),"ALTO",IF(AND(AH23=4,AI23=3),"ALTO","EXTREMO"))))))))))))))))</f>
        <v>MODERADO</v>
      </c>
      <c r="AL23" s="82" t="s">
        <v>95</v>
      </c>
      <c r="AM23" s="68" t="s">
        <v>175</v>
      </c>
      <c r="AN23" s="68" t="s">
        <v>176</v>
      </c>
      <c r="AO23" s="68" t="s">
        <v>177</v>
      </c>
      <c r="AP23" s="61" t="s">
        <v>34</v>
      </c>
    </row>
    <row r="24" spans="1:58" ht="69" x14ac:dyDescent="0.3">
      <c r="A24" s="61"/>
      <c r="B24" s="68"/>
      <c r="C24" s="68"/>
      <c r="D24" s="68"/>
      <c r="E24" s="68"/>
      <c r="F24" s="135" t="s">
        <v>178</v>
      </c>
      <c r="G24" s="80"/>
      <c r="H24" s="136" t="s">
        <v>179</v>
      </c>
      <c r="I24" s="68"/>
      <c r="J24" s="61"/>
      <c r="K24" s="61"/>
      <c r="L24" s="65"/>
      <c r="M24" s="121"/>
      <c r="N24" s="137"/>
      <c r="O24" s="61"/>
      <c r="P24" s="68"/>
      <c r="Q24" s="68"/>
      <c r="R24" s="82"/>
      <c r="S24" s="82"/>
      <c r="T24" s="82"/>
      <c r="U24" s="82"/>
      <c r="V24" s="82"/>
      <c r="W24" s="82"/>
      <c r="X24" s="82"/>
      <c r="Y24" s="82"/>
      <c r="Z24" s="82"/>
      <c r="AA24" s="82"/>
      <c r="AB24" s="82"/>
      <c r="AC24" s="82"/>
      <c r="AD24" s="82"/>
      <c r="AE24" s="82"/>
      <c r="AF24" s="61"/>
      <c r="AG24" s="61"/>
      <c r="AH24" s="61"/>
      <c r="AI24" s="61"/>
      <c r="AJ24" s="65"/>
      <c r="AK24" s="121"/>
      <c r="AL24" s="82"/>
      <c r="AM24" s="68"/>
      <c r="AN24" s="68"/>
      <c r="AO24" s="68"/>
      <c r="AP24" s="61"/>
    </row>
    <row r="25" spans="1:58" ht="124.2" x14ac:dyDescent="0.3">
      <c r="A25" s="40">
        <v>6</v>
      </c>
      <c r="B25" s="138" t="s">
        <v>105</v>
      </c>
      <c r="C25" s="139" t="s">
        <v>52</v>
      </c>
      <c r="D25" s="139" t="s">
        <v>89</v>
      </c>
      <c r="E25" s="139" t="s">
        <v>181</v>
      </c>
      <c r="F25" s="139" t="s">
        <v>182</v>
      </c>
      <c r="G25" s="45" t="s">
        <v>183</v>
      </c>
      <c r="H25" s="45" t="s">
        <v>184</v>
      </c>
      <c r="I25" s="139" t="s">
        <v>146</v>
      </c>
      <c r="J25" s="138">
        <v>2</v>
      </c>
      <c r="K25" s="138">
        <v>3</v>
      </c>
      <c r="L25" s="140">
        <f>J25*K25</f>
        <v>6</v>
      </c>
      <c r="M25" s="141" t="str">
        <f>IF(AND(J25=1,K25=1),"BAJO",IF(AND(J25=1,K25=2),"BAJO",IF(AND(J25=2,K25=1),"BAJO",IF(AND(J25=2,K25=2),"BAJO",IF(AND(J25=3,K25=1),"BAJO",IF(AND(J25=1,K25=3),"MODERADO",IF(AND(J25=2,K25=3),"MODERADO",IF(AND(J25=3,K25=2),"MODERADO",IF(AND(J25=4,K25=1),"MODERADO",IF(AND(J25=5,K25=1),"ALTO",IF(AND(J25=4,K25=2),"ALTO",IF(AND(J25=3,K25=3),"ALTO",IF(AND(J25=2,K25=4),"ALTO",IF(AND(J25=1,K25=4),"ALTO",IF(AND(J25=5,K25=2),"ALTO",IF(AND(J25=4,K25=3),"ALTO","EXTREMO"))))))))))))))))</f>
        <v>MODERADO</v>
      </c>
      <c r="N25" s="142" t="s">
        <v>185</v>
      </c>
      <c r="O25" s="138" t="s">
        <v>0</v>
      </c>
      <c r="P25" s="139" t="s">
        <v>117</v>
      </c>
      <c r="Q25" s="139" t="s">
        <v>119</v>
      </c>
      <c r="R25" s="45" t="s">
        <v>111</v>
      </c>
      <c r="S25" s="45">
        <f>IF(R25="Asignado",[2]Listas!$C$30,[2]Listas!$C$31)</f>
        <v>15</v>
      </c>
      <c r="T25" s="45" t="s">
        <v>63</v>
      </c>
      <c r="U25" s="45">
        <f>IF(T25="Adecuado",[2]Listas!$C$32,[2]Listas!$C$33)</f>
        <v>15</v>
      </c>
      <c r="V25" s="45" t="s">
        <v>65</v>
      </c>
      <c r="W25" s="45">
        <f>IF(V25="Oportuna",[2]Listas!$C$34,[2]Listas!$C$35)</f>
        <v>15</v>
      </c>
      <c r="X25" s="45" t="s">
        <v>73</v>
      </c>
      <c r="Y25" s="45">
        <f>IF(X25="Prevenir",[2]Listas!$C$36,IF(X25="Detectar",[2]Listas!$C$37,[2]Listas!$C$38))</f>
        <v>15</v>
      </c>
      <c r="Z25" s="45" t="s">
        <v>68</v>
      </c>
      <c r="AA25" s="45">
        <f>IF(Z25="Confiable",[2]Listas!$C$39,[2]Listas!$C$40)</f>
        <v>15</v>
      </c>
      <c r="AB25" s="45" t="s">
        <v>70</v>
      </c>
      <c r="AC25" s="45">
        <f>IF(AB25="Se investigan y resuelven oportunamente",[2]Listas!$C$41,[2]Listas!$C$42)</f>
        <v>15</v>
      </c>
      <c r="AD25" s="45" t="s">
        <v>72</v>
      </c>
      <c r="AE25" s="45">
        <f>IF(AD25="Completa",[2]Listas!$C$43,IF(AD25="Incompleta",[2]Listas!$C$44,[2]Listas!$C$45))</f>
        <v>10</v>
      </c>
      <c r="AF25" s="138">
        <f>S25+U25+W25+Y25+AA25+AC25+AE25</f>
        <v>100</v>
      </c>
      <c r="AG25" s="138">
        <f>AVERAGE(AF25:AF25)</f>
        <v>100</v>
      </c>
      <c r="AH25" s="138">
        <v>1</v>
      </c>
      <c r="AI25" s="138">
        <v>3</v>
      </c>
      <c r="AJ25" s="140">
        <f>AH25*AI25</f>
        <v>3</v>
      </c>
      <c r="AK25" s="141" t="str">
        <f>IF(AND(AH25=1,AI25=1),"BAJO",IF(AND(AH25=1,AI25=2),"BAJO",IF(AND(AH25=2,AI25=1),"BAJO",IF(AND(AH25=2,AI25=2),"BAJO",IF(AND(AH25=3,AI25=1),"BAJO",IF(AND(AH25=1,AI25=3),"MODERADO",IF(AND(AH25=2,AI25=3),"MODERADO",IF(AND(AH25=3,AI25=2),"MODERADO",IF(AND(AH25=4,AI25=1),"MODERADO",IF(AND(AH25=5,AI25=1),"ALTO",IF(AND(AH25=4,AI25=2),"ALTO",IF(AND(AH25=3,AI25=3),"ALTO",IF(AND(AH25=2,AI25=4),"ALTO",IF(AND(AH25=1,AI25=4),"ALTO",IF(AND(AH25=5,AI25=2),"ALTO",IF(AND(AH25=4,AI25=3),"ALTO","EXTREMO"))))))))))))))))</f>
        <v>MODERADO</v>
      </c>
      <c r="AL25" s="45" t="s">
        <v>95</v>
      </c>
      <c r="AM25" s="139" t="s">
        <v>186</v>
      </c>
      <c r="AN25" s="139" t="s">
        <v>187</v>
      </c>
      <c r="AO25" s="139" t="s">
        <v>188</v>
      </c>
      <c r="AP25" s="143" t="s">
        <v>189</v>
      </c>
      <c r="AQ25" s="144"/>
      <c r="AR25" s="144"/>
      <c r="AS25" s="144"/>
      <c r="AT25" s="144"/>
      <c r="AU25" s="144"/>
      <c r="AV25" s="144"/>
      <c r="AW25" s="144"/>
      <c r="AX25" s="144"/>
      <c r="AY25" s="144"/>
      <c r="AZ25" s="144"/>
      <c r="BA25" s="144"/>
      <c r="BB25" s="144"/>
      <c r="BC25" s="144"/>
      <c r="BD25" s="144"/>
      <c r="BE25" s="144"/>
      <c r="BF25" s="144"/>
    </row>
    <row r="26" spans="1:58" ht="151.80000000000001" x14ac:dyDescent="0.3">
      <c r="A26" s="40">
        <v>7</v>
      </c>
      <c r="B26" s="138" t="s">
        <v>105</v>
      </c>
      <c r="C26" s="139" t="s">
        <v>50</v>
      </c>
      <c r="D26" s="139" t="s">
        <v>89</v>
      </c>
      <c r="E26" s="139" t="s">
        <v>181</v>
      </c>
      <c r="F26" s="139" t="s">
        <v>182</v>
      </c>
      <c r="G26" s="45" t="s">
        <v>190</v>
      </c>
      <c r="H26" s="45" t="s">
        <v>191</v>
      </c>
      <c r="I26" s="139" t="s">
        <v>146</v>
      </c>
      <c r="J26" s="138">
        <v>2</v>
      </c>
      <c r="K26" s="138">
        <v>4</v>
      </c>
      <c r="L26" s="140">
        <f t="shared" ref="L26" si="12">J26*K26</f>
        <v>8</v>
      </c>
      <c r="M26" s="141" t="str">
        <f t="shared" ref="M26" si="13">IF(AND(J26=1,K26=1),"BAJO",IF(AND(J26=1,K26=2),"BAJO",IF(AND(J26=2,K26=1),"BAJO",IF(AND(J26=2,K26=2),"BAJO",IF(AND(J26=3,K26=1),"BAJO",IF(AND(J26=1,K26=3),"MODERADO",IF(AND(J26=2,K26=3),"MODERADO",IF(AND(J26=3,K26=2),"MODERADO",IF(AND(J26=4,K26=1),"MODERADO",IF(AND(J26=5,K26=1),"ALTO",IF(AND(J26=4,K26=2),"ALTO",IF(AND(J26=3,K26=3),"ALTO",IF(AND(J26=2,K26=4),"ALTO",IF(AND(J26=1,K26=4),"ALTO",IF(AND(J26=5,K26=2),"ALTO",IF(AND(J26=4,K26=3),"ALTO","EXTREMO"))))))))))))))))</f>
        <v>ALTO</v>
      </c>
      <c r="N26" s="145" t="s">
        <v>192</v>
      </c>
      <c r="O26" s="138" t="s">
        <v>0</v>
      </c>
      <c r="P26" s="139" t="s">
        <v>117</v>
      </c>
      <c r="Q26" s="139" t="s">
        <v>119</v>
      </c>
      <c r="R26" s="45" t="s">
        <v>111</v>
      </c>
      <c r="S26" s="45">
        <f>IF(R26="Asignado",[2]Listas!$C$30,[2]Listas!$C$31)</f>
        <v>15</v>
      </c>
      <c r="T26" s="45" t="s">
        <v>63</v>
      </c>
      <c r="U26" s="45">
        <f>IF(T26="Adecuado",[2]Listas!$C$32,[2]Listas!$C$33)</f>
        <v>15</v>
      </c>
      <c r="V26" s="45" t="s">
        <v>65</v>
      </c>
      <c r="W26" s="45">
        <f>IF(V26="Oportuna",[2]Listas!$C$34,[2]Listas!$C$35)</f>
        <v>15</v>
      </c>
      <c r="X26" s="45" t="s">
        <v>73</v>
      </c>
      <c r="Y26" s="45">
        <f>IF(X26="Prevenir",[2]Listas!$C$36,IF(X26="Detectar",[2]Listas!$C$37,[2]Listas!$C$38))</f>
        <v>15</v>
      </c>
      <c r="Z26" s="45" t="s">
        <v>68</v>
      </c>
      <c r="AA26" s="45">
        <f>IF(Z26="Confiable",[2]Listas!$C$39,[2]Listas!$C$40)</f>
        <v>15</v>
      </c>
      <c r="AB26" s="45" t="s">
        <v>70</v>
      </c>
      <c r="AC26" s="45">
        <f>IF(AB26="Se investigan y resuelven oportunamente",[2]Listas!$C$41,[2]Listas!$C$42)</f>
        <v>15</v>
      </c>
      <c r="AD26" s="45" t="s">
        <v>72</v>
      </c>
      <c r="AE26" s="45">
        <f>IF(AD26="Completa",[2]Listas!$C$43,IF(AD26="Incompleta",[2]Listas!$C$44,[2]Listas!$C$45))</f>
        <v>10</v>
      </c>
      <c r="AF26" s="138">
        <f t="shared" ref="AF26" si="14">S26+U26+W26+Y26+AA26+AC26+AE26</f>
        <v>100</v>
      </c>
      <c r="AG26" s="138">
        <f>AVERAGE(AF26:AF26)</f>
        <v>100</v>
      </c>
      <c r="AH26" s="138">
        <v>1</v>
      </c>
      <c r="AI26" s="138">
        <v>4</v>
      </c>
      <c r="AJ26" s="140">
        <f>+AH26*AI26</f>
        <v>4</v>
      </c>
      <c r="AK26" s="141" t="str">
        <f t="shared" ref="AK26" si="15">IF(AND(AH26=1,AI26=1),"BAJO",IF(AND(AH26=1,AI26=2),"BAJO",IF(AND(AH26=2,AI26=1),"BAJO",IF(AND(AH26=2,AI26=2),"BAJO",IF(AND(AH26=3,AI26=1),"BAJO",IF(AND(AH26=1,AI26=3),"MODERADO",IF(AND(AH26=2,AI26=3),"MODERADO",IF(AND(AH26=3,AI26=2),"MODERADO",IF(AND(AH26=4,AI26=1),"MODERADO",IF(AND(AH26=5,AI26=1),"ALTO",IF(AND(AH26=4,AI26=2),"ALTO",IF(AND(AH26=3,AI26=3),"ALTO",IF(AND(AH26=2,AI26=4),"ALTO",IF(AND(AH26=1,AI26=4),"ALTO",IF(AND(AH26=5,AI26=2),"ALTO",IF(AND(AH26=4,AI26=3),"ALTO","EXTREMO"))))))))))))))))</f>
        <v>ALTO</v>
      </c>
      <c r="AL26" s="45" t="s">
        <v>95</v>
      </c>
      <c r="AM26" s="139" t="s">
        <v>193</v>
      </c>
      <c r="AN26" s="139" t="s">
        <v>194</v>
      </c>
      <c r="AO26" s="139" t="s">
        <v>195</v>
      </c>
      <c r="AP26" s="139" t="s">
        <v>189</v>
      </c>
      <c r="AQ26" s="144"/>
      <c r="AR26" s="144"/>
      <c r="AS26" s="144"/>
      <c r="AT26" s="144"/>
      <c r="AU26" s="144"/>
      <c r="AV26" s="144"/>
      <c r="AW26" s="144"/>
      <c r="AX26" s="144"/>
      <c r="AY26" s="144"/>
      <c r="AZ26" s="144"/>
      <c r="BA26" s="144"/>
      <c r="BB26" s="144"/>
      <c r="BC26" s="144"/>
      <c r="BD26" s="144"/>
      <c r="BE26" s="144"/>
      <c r="BF26" s="144"/>
    </row>
    <row r="27" spans="1:58" x14ac:dyDescent="0.3">
      <c r="A27" s="61">
        <v>8</v>
      </c>
      <c r="B27" s="61" t="s">
        <v>106</v>
      </c>
      <c r="C27" s="95"/>
      <c r="D27" s="95" t="s">
        <v>89</v>
      </c>
      <c r="E27" s="95" t="s">
        <v>132</v>
      </c>
      <c r="F27" s="95" t="s">
        <v>197</v>
      </c>
      <c r="G27" s="78" t="s">
        <v>198</v>
      </c>
      <c r="H27" s="90" t="s">
        <v>199</v>
      </c>
      <c r="I27" s="68" t="s">
        <v>128</v>
      </c>
      <c r="J27" s="61">
        <v>1</v>
      </c>
      <c r="K27" s="61">
        <v>4</v>
      </c>
      <c r="L27" s="65">
        <f>J27*K27</f>
        <v>4</v>
      </c>
      <c r="M27" s="121" t="str">
        <f>IF(AND(J27=1,K27=1),"BAJO",IF(AND(J27=1,K27=2),"BAJO",IF(AND(J27=2,K27=1),"BAJO",IF(AND(J27=2,K27=2),"BAJO",IF(AND(J27=3,K27=1),"BAJO",IF(AND(J27=1,K27=3),"MODERADO",IF(AND(J27=2,K27=3),"MODERADO",IF(AND(J27=3,K27=2),"MODERADO",IF(AND(J27=4,K27=1),"MODERADO",IF(AND(J27=5,K27=1),"ALTO",IF(AND(J27=4,K27=2),"ALTO",IF(AND(J27=3,K27=3),"ALTO",IF(AND(J27=2,K27=4),"ALTO",IF(AND(J27=1,K27=4),"ALTO",IF(AND(J27=5,K27=2),"ALTO",IF(AND(J27=4,K27=3),"ALTO","EXTREMO"))))))))))))))))</f>
        <v>ALTO</v>
      </c>
      <c r="N27" s="95" t="s">
        <v>200</v>
      </c>
      <c r="O27" s="98" t="s">
        <v>0</v>
      </c>
      <c r="P27" s="95" t="s">
        <v>117</v>
      </c>
      <c r="Q27" s="95" t="s">
        <v>119</v>
      </c>
      <c r="R27" s="101" t="s">
        <v>111</v>
      </c>
      <c r="S27" s="101">
        <f>IF(R27="Asignado",[3]Listas!$C$30,[3]Listas!$C$31)</f>
        <v>15</v>
      </c>
      <c r="T27" s="101" t="s">
        <v>63</v>
      </c>
      <c r="U27" s="101">
        <f>IF(T27="Adecuado",[3]Listas!$C$32,[3]Listas!$C$33)</f>
        <v>15</v>
      </c>
      <c r="V27" s="101" t="s">
        <v>65</v>
      </c>
      <c r="W27" s="101">
        <f>IF(V27="Oportuna",[3]Listas!$C$34,[3]Listas!$C$35)</f>
        <v>15</v>
      </c>
      <c r="X27" s="101" t="s">
        <v>73</v>
      </c>
      <c r="Y27" s="101">
        <f>IF(X27="Prevenir",[3]Listas!$C$36,IF(X27="Detectar",[3]Listas!$C$37,[3]Listas!$C$38))</f>
        <v>15</v>
      </c>
      <c r="Z27" s="101" t="s">
        <v>68</v>
      </c>
      <c r="AA27" s="101">
        <f>IF(Z27="Confiable",[3]Listas!$C$39,[3]Listas!$C$40)</f>
        <v>15</v>
      </c>
      <c r="AB27" s="101" t="s">
        <v>70</v>
      </c>
      <c r="AC27" s="101">
        <f>IF(AB27="Se investigan y resuelven oportunamente",[3]Listas!$C$41,[3]Listas!$C$42)</f>
        <v>15</v>
      </c>
      <c r="AD27" s="101" t="s">
        <v>72</v>
      </c>
      <c r="AE27" s="101">
        <f>IF(AD27="Completa",[3]Listas!$C$43,IF(AD27="Incompleta",[3]Listas!$C$44,[3]Listas!$C$45))</f>
        <v>10</v>
      </c>
      <c r="AF27" s="98">
        <f>S27+U27+W27+Y27+AA27+AC27+AE27</f>
        <v>100</v>
      </c>
      <c r="AG27" s="61">
        <f>AVERAGE(AF27:AF31)</f>
        <v>100</v>
      </c>
      <c r="AH27" s="61">
        <v>1</v>
      </c>
      <c r="AI27" s="61">
        <v>4</v>
      </c>
      <c r="AJ27" s="65">
        <f>+AH27*AI27</f>
        <v>4</v>
      </c>
      <c r="AK27" s="121" t="str">
        <f>IF(AND(AH27=1,AI27=1),"BAJO",IF(AND(AH27=1,AI27=2),"BAJO",IF(AND(AH27=2,AI27=1),"BAJO",IF(AND(AH27=2,AI27=2),"BAJO",IF(AND(AH27=3,AI27=1),"BAJO",IF(AND(AH27=1,AI27=3),"MODERADO",IF(AND(AH27=2,AI27=3),"MODERADO",IF(AND(AH27=3,AI27=2),"MODERADO",IF(AND(AH27=4,AI27=1),"MODERADO",IF(AND(AH27=5,AI27=1),"ALTO",IF(AND(AH27=4,AI27=2),"ALTO",IF(AND(AH27=3,AI27=3),"ALTO",IF(AND(AH27=2,AI27=4),"ALTO",IF(AND(AH27=1,AI27=4),"ALTO",IF(AND(AH27=5,AI27=2),"ALTO",IF(AND(AH27=4,AI27=3),"ALTO","EXTREMO"))))))))))))))))</f>
        <v>ALTO</v>
      </c>
      <c r="AL27" s="101" t="s">
        <v>95</v>
      </c>
      <c r="AM27" s="118" t="s">
        <v>201</v>
      </c>
      <c r="AN27" s="118" t="s">
        <v>202</v>
      </c>
      <c r="AO27" s="118" t="s">
        <v>203</v>
      </c>
      <c r="AP27" s="118" t="s">
        <v>204</v>
      </c>
    </row>
    <row r="28" spans="1:58" x14ac:dyDescent="0.3">
      <c r="A28" s="61"/>
      <c r="B28" s="61"/>
      <c r="C28" s="93"/>
      <c r="D28" s="93"/>
      <c r="E28" s="93"/>
      <c r="F28" s="93"/>
      <c r="G28" s="78"/>
      <c r="H28" s="90"/>
      <c r="I28" s="68"/>
      <c r="J28" s="61"/>
      <c r="K28" s="61"/>
      <c r="L28" s="65"/>
      <c r="M28" s="121"/>
      <c r="N28" s="93"/>
      <c r="O28" s="99"/>
      <c r="P28" s="93"/>
      <c r="Q28" s="93"/>
      <c r="R28" s="102"/>
      <c r="S28" s="102"/>
      <c r="T28" s="102"/>
      <c r="U28" s="102"/>
      <c r="V28" s="102"/>
      <c r="W28" s="102"/>
      <c r="X28" s="102"/>
      <c r="Y28" s="102"/>
      <c r="Z28" s="102"/>
      <c r="AA28" s="102"/>
      <c r="AB28" s="102"/>
      <c r="AC28" s="102"/>
      <c r="AD28" s="102"/>
      <c r="AE28" s="102"/>
      <c r="AF28" s="99"/>
      <c r="AG28" s="61"/>
      <c r="AH28" s="61"/>
      <c r="AI28" s="61"/>
      <c r="AJ28" s="65"/>
      <c r="AK28" s="121"/>
      <c r="AL28" s="102"/>
      <c r="AM28" s="146"/>
      <c r="AN28" s="146"/>
      <c r="AO28" s="146"/>
      <c r="AP28" s="146"/>
    </row>
    <row r="29" spans="1:58" x14ac:dyDescent="0.3">
      <c r="A29" s="61"/>
      <c r="B29" s="61"/>
      <c r="C29" s="93"/>
      <c r="D29" s="93"/>
      <c r="E29" s="93"/>
      <c r="F29" s="93"/>
      <c r="G29" s="78"/>
      <c r="H29" s="90"/>
      <c r="I29" s="68"/>
      <c r="J29" s="61"/>
      <c r="K29" s="61"/>
      <c r="L29" s="65"/>
      <c r="M29" s="121"/>
      <c r="N29" s="93"/>
      <c r="O29" s="99"/>
      <c r="P29" s="93"/>
      <c r="Q29" s="93"/>
      <c r="R29" s="102"/>
      <c r="S29" s="102"/>
      <c r="T29" s="102"/>
      <c r="U29" s="102"/>
      <c r="V29" s="102"/>
      <c r="W29" s="102"/>
      <c r="X29" s="102"/>
      <c r="Y29" s="102"/>
      <c r="Z29" s="102"/>
      <c r="AA29" s="102"/>
      <c r="AB29" s="102"/>
      <c r="AC29" s="102"/>
      <c r="AD29" s="102"/>
      <c r="AE29" s="102"/>
      <c r="AF29" s="99"/>
      <c r="AG29" s="61"/>
      <c r="AH29" s="61"/>
      <c r="AI29" s="61"/>
      <c r="AJ29" s="65"/>
      <c r="AK29" s="121"/>
      <c r="AL29" s="102"/>
      <c r="AM29" s="146"/>
      <c r="AN29" s="146"/>
      <c r="AO29" s="146"/>
      <c r="AP29" s="146"/>
    </row>
    <row r="30" spans="1:58" x14ac:dyDescent="0.3">
      <c r="A30" s="61"/>
      <c r="B30" s="61"/>
      <c r="C30" s="93"/>
      <c r="D30" s="93"/>
      <c r="E30" s="93"/>
      <c r="F30" s="93"/>
      <c r="G30" s="78"/>
      <c r="H30" s="90"/>
      <c r="I30" s="68"/>
      <c r="J30" s="61"/>
      <c r="K30" s="61"/>
      <c r="L30" s="65"/>
      <c r="M30" s="121"/>
      <c r="N30" s="93"/>
      <c r="O30" s="99"/>
      <c r="P30" s="93"/>
      <c r="Q30" s="93"/>
      <c r="R30" s="102"/>
      <c r="S30" s="102"/>
      <c r="T30" s="102"/>
      <c r="U30" s="102"/>
      <c r="V30" s="102"/>
      <c r="W30" s="102"/>
      <c r="X30" s="102"/>
      <c r="Y30" s="102"/>
      <c r="Z30" s="102"/>
      <c r="AA30" s="102"/>
      <c r="AB30" s="102"/>
      <c r="AC30" s="102"/>
      <c r="AD30" s="102"/>
      <c r="AE30" s="102"/>
      <c r="AF30" s="99"/>
      <c r="AG30" s="61"/>
      <c r="AH30" s="61"/>
      <c r="AI30" s="61"/>
      <c r="AJ30" s="65"/>
      <c r="AK30" s="121"/>
      <c r="AL30" s="102"/>
      <c r="AM30" s="146"/>
      <c r="AN30" s="146"/>
      <c r="AO30" s="146"/>
      <c r="AP30" s="146"/>
    </row>
    <row r="31" spans="1:58" x14ac:dyDescent="0.3">
      <c r="A31" s="61"/>
      <c r="B31" s="61"/>
      <c r="C31" s="94"/>
      <c r="D31" s="94"/>
      <c r="E31" s="94"/>
      <c r="F31" s="94"/>
      <c r="G31" s="78"/>
      <c r="H31" s="90"/>
      <c r="I31" s="68"/>
      <c r="J31" s="61"/>
      <c r="K31" s="61"/>
      <c r="L31" s="65"/>
      <c r="M31" s="121"/>
      <c r="N31" s="94"/>
      <c r="O31" s="100"/>
      <c r="P31" s="94"/>
      <c r="Q31" s="94"/>
      <c r="R31" s="103"/>
      <c r="S31" s="103"/>
      <c r="T31" s="103"/>
      <c r="U31" s="103"/>
      <c r="V31" s="103"/>
      <c r="W31" s="103"/>
      <c r="X31" s="103"/>
      <c r="Y31" s="103"/>
      <c r="Z31" s="103"/>
      <c r="AA31" s="103"/>
      <c r="AB31" s="103"/>
      <c r="AC31" s="103"/>
      <c r="AD31" s="103"/>
      <c r="AE31" s="103"/>
      <c r="AF31" s="100"/>
      <c r="AG31" s="61"/>
      <c r="AH31" s="61"/>
      <c r="AI31" s="61"/>
      <c r="AJ31" s="65"/>
      <c r="AK31" s="121"/>
      <c r="AL31" s="103"/>
      <c r="AM31" s="126"/>
      <c r="AN31" s="126"/>
      <c r="AO31" s="126"/>
      <c r="AP31" s="126"/>
    </row>
    <row r="32" spans="1:58" x14ac:dyDescent="0.3">
      <c r="A32" s="61">
        <v>9</v>
      </c>
      <c r="B32" s="68" t="s">
        <v>108</v>
      </c>
      <c r="C32" s="95" t="s">
        <v>50</v>
      </c>
      <c r="D32" s="95"/>
      <c r="E32" s="95" t="s">
        <v>132</v>
      </c>
      <c r="F32" s="92" t="s">
        <v>205</v>
      </c>
      <c r="G32" s="79" t="s">
        <v>206</v>
      </c>
      <c r="H32" s="77" t="s">
        <v>207</v>
      </c>
      <c r="I32" s="68" t="s">
        <v>128</v>
      </c>
      <c r="J32" s="61">
        <v>2</v>
      </c>
      <c r="K32" s="61">
        <v>4</v>
      </c>
      <c r="L32" s="65">
        <f>J32*K32</f>
        <v>8</v>
      </c>
      <c r="M32" s="121" t="str">
        <f>IF(AND(J32=1,K32=1),"BAJO",IF(AND(J32=1,K32=2),"BAJO",IF(AND(J32=2,K32=1),"BAJO",IF(AND(J32=2,K32=2),"BAJO",IF(AND(J32=3,K32=1),"BAJO",IF(AND(J32=1,K32=3),"MODERADO",IF(AND(J32=2,K32=3),"MODERADO",IF(AND(J32=3,K32=2),"MODERADO",IF(AND(J32=4,K32=1),"MODERADO",IF(AND(J32=5,K32=1),"ALTO",IF(AND(J32=4,K32=2),"ALTO",IF(AND(J32=3,K32=3),"ALTO",IF(AND(J32=2,K32=4),"ALTO",IF(AND(J32=1,K32=4),"ALTO",IF(AND(J32=5,K32=2),"ALTO",IF(AND(J32=4,K32=3),"ALTO","EXTREMO"))))))))))))))))</f>
        <v>ALTO</v>
      </c>
      <c r="N32" s="95" t="s">
        <v>208</v>
      </c>
      <c r="O32" s="98" t="s">
        <v>0</v>
      </c>
      <c r="P32" s="95" t="s">
        <v>117</v>
      </c>
      <c r="Q32" s="95" t="s">
        <v>119</v>
      </c>
      <c r="R32" s="101" t="s">
        <v>111</v>
      </c>
      <c r="S32" s="101">
        <f>IF(R32="Asignado",[4]Listas!$C$30,[4]Listas!$C$31)</f>
        <v>15</v>
      </c>
      <c r="T32" s="101" t="s">
        <v>63</v>
      </c>
      <c r="U32" s="101">
        <f>IF(T32="Adecuado",[4]Listas!$C$32,[4]Listas!$C$33)</f>
        <v>15</v>
      </c>
      <c r="V32" s="101" t="s">
        <v>65</v>
      </c>
      <c r="W32" s="101">
        <f>IF(V32="Oportuna",[4]Listas!$C$34,[4]Listas!$C$35)</f>
        <v>15</v>
      </c>
      <c r="X32" s="101" t="s">
        <v>73</v>
      </c>
      <c r="Y32" s="101">
        <f>IF(X32="Prevenir",[4]Listas!$C$36,IF(X32="Detectar",[4]Listas!$C$37,[4]Listas!$C$38))</f>
        <v>15</v>
      </c>
      <c r="Z32" s="101" t="s">
        <v>68</v>
      </c>
      <c r="AA32" s="101">
        <f>IF(Z32="Confiable",[4]Listas!$C$39,[4]Listas!$C$40)</f>
        <v>15</v>
      </c>
      <c r="AB32" s="101" t="s">
        <v>70</v>
      </c>
      <c r="AC32" s="101">
        <f>IF(AB32="Se investigan y resuelven oportunamente",[4]Listas!$C$41,[4]Listas!$C$42)</f>
        <v>15</v>
      </c>
      <c r="AD32" s="101" t="s">
        <v>72</v>
      </c>
      <c r="AE32" s="101">
        <f>IF(AD32="Completa",[4]Listas!$C$43,IF(AD32="Incompleta",[4]Listas!$C$44,[4]Listas!$C$45))</f>
        <v>10</v>
      </c>
      <c r="AF32" s="98">
        <f>S32+U32+W32+Y32+AA32+AC32+AE32</f>
        <v>100</v>
      </c>
      <c r="AG32" s="61">
        <f>AVERAGE(AF32:AF36)</f>
        <v>100</v>
      </c>
      <c r="AH32" s="61">
        <v>1</v>
      </c>
      <c r="AI32" s="61">
        <v>4</v>
      </c>
      <c r="AJ32" s="65">
        <f>AH32*AI32</f>
        <v>4</v>
      </c>
      <c r="AK32" s="121" t="str">
        <f>IF(AND(AH32=1,AI32=1),"BAJO",IF(AND(AH32=1,AI32=2),"BAJO",IF(AND(AH32=2,AI32=1),"BAJO",IF(AND(AH32=2,AI32=2),"BAJO",IF(AND(AH32=3,AI32=1),"BAJO",IF(AND(AH32=1,AI32=3),"MODERADO",IF(AND(AH32=2,AI32=3),"MODERADO",IF(AND(AH32=3,AI32=2),"MODERADO",IF(AND(AH32=4,AI32=1),"MODERADO",IF(AND(AH32=5,AI32=1),"ALTO",IF(AND(AH32=4,AI32=2),"ALTO",IF(AND(AH32=3,AI32=3),"ALTO",IF(AND(AH32=2,AI32=4),"ALTO",IF(AND(AH32=1,AI32=4),"ALTO",IF(AND(AH32=5,AI32=2),"ALTO",IF(AND(AH32=4,AI32=3),"ALTO","EXTREMO"))))))))))))))))</f>
        <v>ALTO</v>
      </c>
      <c r="AL32" s="82" t="s">
        <v>95</v>
      </c>
      <c r="AM32" s="95" t="s">
        <v>209</v>
      </c>
      <c r="AN32" s="95" t="s">
        <v>210</v>
      </c>
      <c r="AO32" s="95" t="s">
        <v>211</v>
      </c>
      <c r="AP32" s="95" t="s">
        <v>212</v>
      </c>
    </row>
    <row r="33" spans="1:42" x14ac:dyDescent="0.3">
      <c r="A33" s="61"/>
      <c r="B33" s="68"/>
      <c r="C33" s="93"/>
      <c r="D33" s="93"/>
      <c r="E33" s="93"/>
      <c r="F33" s="93"/>
      <c r="G33" s="80"/>
      <c r="H33" s="78"/>
      <c r="I33" s="68"/>
      <c r="J33" s="61"/>
      <c r="K33" s="61"/>
      <c r="L33" s="65"/>
      <c r="M33" s="121"/>
      <c r="N33" s="93"/>
      <c r="O33" s="99"/>
      <c r="P33" s="93"/>
      <c r="Q33" s="93"/>
      <c r="R33" s="102"/>
      <c r="S33" s="102"/>
      <c r="T33" s="102"/>
      <c r="U33" s="102"/>
      <c r="V33" s="102"/>
      <c r="W33" s="102"/>
      <c r="X33" s="102"/>
      <c r="Y33" s="102"/>
      <c r="Z33" s="102"/>
      <c r="AA33" s="102"/>
      <c r="AB33" s="102"/>
      <c r="AC33" s="102"/>
      <c r="AD33" s="102"/>
      <c r="AE33" s="102"/>
      <c r="AF33" s="99"/>
      <c r="AG33" s="61"/>
      <c r="AH33" s="61"/>
      <c r="AI33" s="61"/>
      <c r="AJ33" s="65"/>
      <c r="AK33" s="121"/>
      <c r="AL33" s="82"/>
      <c r="AM33" s="93"/>
      <c r="AN33" s="93"/>
      <c r="AO33" s="93"/>
      <c r="AP33" s="93"/>
    </row>
    <row r="34" spans="1:42" x14ac:dyDescent="0.3">
      <c r="A34" s="61"/>
      <c r="B34" s="68"/>
      <c r="C34" s="93"/>
      <c r="D34" s="93"/>
      <c r="E34" s="93"/>
      <c r="F34" s="93"/>
      <c r="G34" s="80"/>
      <c r="H34" s="78"/>
      <c r="I34" s="68"/>
      <c r="J34" s="61"/>
      <c r="K34" s="61"/>
      <c r="L34" s="65"/>
      <c r="M34" s="121"/>
      <c r="N34" s="93"/>
      <c r="O34" s="99"/>
      <c r="P34" s="93"/>
      <c r="Q34" s="93"/>
      <c r="R34" s="102"/>
      <c r="S34" s="102"/>
      <c r="T34" s="102"/>
      <c r="U34" s="102"/>
      <c r="V34" s="102"/>
      <c r="W34" s="102"/>
      <c r="X34" s="102"/>
      <c r="Y34" s="102"/>
      <c r="Z34" s="102"/>
      <c r="AA34" s="102"/>
      <c r="AB34" s="102"/>
      <c r="AC34" s="102"/>
      <c r="AD34" s="102"/>
      <c r="AE34" s="102"/>
      <c r="AF34" s="99"/>
      <c r="AG34" s="61"/>
      <c r="AH34" s="61"/>
      <c r="AI34" s="61"/>
      <c r="AJ34" s="65"/>
      <c r="AK34" s="121"/>
      <c r="AL34" s="82"/>
      <c r="AM34" s="93"/>
      <c r="AN34" s="93"/>
      <c r="AO34" s="93"/>
      <c r="AP34" s="93"/>
    </row>
    <row r="35" spans="1:42" x14ac:dyDescent="0.3">
      <c r="A35" s="61"/>
      <c r="B35" s="68"/>
      <c r="C35" s="93"/>
      <c r="D35" s="93"/>
      <c r="E35" s="93"/>
      <c r="F35" s="93"/>
      <c r="G35" s="80"/>
      <c r="H35" s="78"/>
      <c r="I35" s="68"/>
      <c r="J35" s="61"/>
      <c r="K35" s="61"/>
      <c r="L35" s="65"/>
      <c r="M35" s="121"/>
      <c r="N35" s="93"/>
      <c r="O35" s="99"/>
      <c r="P35" s="93"/>
      <c r="Q35" s="93"/>
      <c r="R35" s="102"/>
      <c r="S35" s="102"/>
      <c r="T35" s="102"/>
      <c r="U35" s="102"/>
      <c r="V35" s="102"/>
      <c r="W35" s="102"/>
      <c r="X35" s="102"/>
      <c r="Y35" s="102"/>
      <c r="Z35" s="102"/>
      <c r="AA35" s="102"/>
      <c r="AB35" s="102"/>
      <c r="AC35" s="102"/>
      <c r="AD35" s="102"/>
      <c r="AE35" s="102"/>
      <c r="AF35" s="99"/>
      <c r="AG35" s="61"/>
      <c r="AH35" s="61"/>
      <c r="AI35" s="61"/>
      <c r="AJ35" s="65"/>
      <c r="AK35" s="121"/>
      <c r="AL35" s="82"/>
      <c r="AM35" s="93"/>
      <c r="AN35" s="93"/>
      <c r="AO35" s="93"/>
      <c r="AP35" s="93"/>
    </row>
    <row r="36" spans="1:42" x14ac:dyDescent="0.3">
      <c r="A36" s="61"/>
      <c r="B36" s="68"/>
      <c r="C36" s="94"/>
      <c r="D36" s="94"/>
      <c r="E36" s="94"/>
      <c r="F36" s="94"/>
      <c r="G36" s="80"/>
      <c r="H36" s="78"/>
      <c r="I36" s="68"/>
      <c r="J36" s="61"/>
      <c r="K36" s="61"/>
      <c r="L36" s="65"/>
      <c r="M36" s="121"/>
      <c r="N36" s="94"/>
      <c r="O36" s="100"/>
      <c r="P36" s="94"/>
      <c r="Q36" s="94"/>
      <c r="R36" s="103"/>
      <c r="S36" s="103"/>
      <c r="T36" s="103"/>
      <c r="U36" s="103"/>
      <c r="V36" s="103"/>
      <c r="W36" s="103"/>
      <c r="X36" s="103"/>
      <c r="Y36" s="103"/>
      <c r="Z36" s="103"/>
      <c r="AA36" s="103"/>
      <c r="AB36" s="103"/>
      <c r="AC36" s="103"/>
      <c r="AD36" s="103"/>
      <c r="AE36" s="103"/>
      <c r="AF36" s="100"/>
      <c r="AG36" s="61"/>
      <c r="AH36" s="61"/>
      <c r="AI36" s="61"/>
      <c r="AJ36" s="65"/>
      <c r="AK36" s="121"/>
      <c r="AL36" s="82"/>
      <c r="AM36" s="94"/>
      <c r="AN36" s="94"/>
      <c r="AO36" s="94"/>
      <c r="AP36" s="94"/>
    </row>
    <row r="37" spans="1:42" x14ac:dyDescent="0.3">
      <c r="A37" s="61">
        <v>10</v>
      </c>
      <c r="B37" s="68" t="s">
        <v>108</v>
      </c>
      <c r="C37" s="95" t="s">
        <v>50</v>
      </c>
      <c r="D37" s="95"/>
      <c r="E37" s="95" t="s">
        <v>132</v>
      </c>
      <c r="F37" s="92" t="s">
        <v>213</v>
      </c>
      <c r="G37" s="82" t="s">
        <v>214</v>
      </c>
      <c r="H37" s="89" t="s">
        <v>215</v>
      </c>
      <c r="I37" s="68" t="s">
        <v>128</v>
      </c>
      <c r="J37" s="61">
        <v>2</v>
      </c>
      <c r="K37" s="61">
        <v>4</v>
      </c>
      <c r="L37" s="65">
        <f t="shared" ref="L37:L41" si="16">J37*K37</f>
        <v>8</v>
      </c>
      <c r="M37" s="121" t="str">
        <f t="shared" ref="M37:M41" si="17">IF(AND(J37=1,K37=1),"BAJO",IF(AND(J37=1,K37=2),"BAJO",IF(AND(J37=2,K37=1),"BAJO",IF(AND(J37=2,K37=2),"BAJO",IF(AND(J37=3,K37=1),"BAJO",IF(AND(J37=1,K37=3),"MODERADO",IF(AND(J37=2,K37=3),"MODERADO",IF(AND(J37=3,K37=2),"MODERADO",IF(AND(J37=4,K37=1),"MODERADO",IF(AND(J37=5,K37=1),"ALTO",IF(AND(J37=4,K37=2),"ALTO",IF(AND(J37=3,K37=3),"ALTO",IF(AND(J37=2,K37=4),"ALTO",IF(AND(J37=1,K37=4),"ALTO",IF(AND(J37=5,K37=2),"ALTO",IF(AND(J37=4,K37=3),"ALTO","EXTREMO"))))))))))))))))</f>
        <v>ALTO</v>
      </c>
      <c r="N37" s="95" t="s">
        <v>216</v>
      </c>
      <c r="O37" s="98" t="s">
        <v>0</v>
      </c>
      <c r="P37" s="95" t="s">
        <v>117</v>
      </c>
      <c r="Q37" s="95" t="s">
        <v>117</v>
      </c>
      <c r="R37" s="101" t="s">
        <v>111</v>
      </c>
      <c r="S37" s="101">
        <f>IF(R37="Asignado",[4]Listas!$C$30,[4]Listas!$C$31)</f>
        <v>15</v>
      </c>
      <c r="T37" s="101" t="s">
        <v>63</v>
      </c>
      <c r="U37" s="101">
        <f>IF(T37="Adecuado",[4]Listas!$C$32,[4]Listas!$C$33)</f>
        <v>15</v>
      </c>
      <c r="V37" s="101" t="s">
        <v>65</v>
      </c>
      <c r="W37" s="101">
        <f>IF(V37="Oportuna",[4]Listas!$C$34,[4]Listas!$C$35)</f>
        <v>15</v>
      </c>
      <c r="X37" s="101" t="s">
        <v>73</v>
      </c>
      <c r="Y37" s="101">
        <f>IF(X37="Prevenir",[4]Listas!$C$36,IF(X37="Detectar",[4]Listas!$C$37,[4]Listas!$C$38))</f>
        <v>15</v>
      </c>
      <c r="Z37" s="101" t="s">
        <v>68</v>
      </c>
      <c r="AA37" s="101">
        <f>IF(Z37="Confiable",[4]Listas!$C$39,[4]Listas!$C$40)</f>
        <v>15</v>
      </c>
      <c r="AB37" s="101" t="s">
        <v>70</v>
      </c>
      <c r="AC37" s="101">
        <f>IF(AB37="Se investigan y resuelven oportunamente",[4]Listas!$C$41,[4]Listas!$C$42)</f>
        <v>15</v>
      </c>
      <c r="AD37" s="101" t="s">
        <v>72</v>
      </c>
      <c r="AE37" s="101">
        <f>IF(AD37="Completa",[4]Listas!$C$43,IF(AD37="Incompleta",[4]Listas!$C$44,[4]Listas!$C$45))</f>
        <v>10</v>
      </c>
      <c r="AF37" s="98">
        <f>S37+U37+W37+Y37+AA37+AC37+AE37</f>
        <v>100</v>
      </c>
      <c r="AG37" s="61">
        <f>AVERAGE(AF37:AF41)</f>
        <v>100</v>
      </c>
      <c r="AH37" s="61">
        <v>1</v>
      </c>
      <c r="AI37" s="61">
        <v>3</v>
      </c>
      <c r="AJ37" s="65">
        <f>+AH37*AI37</f>
        <v>3</v>
      </c>
      <c r="AK37" s="121" t="str">
        <f t="shared" ref="AK37:AK41" si="18">IF(AND(AH37=1,AI37=1),"BAJO",IF(AND(AH37=1,AI37=2),"BAJO",IF(AND(AH37=2,AI37=1),"BAJO",IF(AND(AH37=2,AI37=2),"BAJO",IF(AND(AH37=3,AI37=1),"BAJO",IF(AND(AH37=1,AI37=3),"MODERADO",IF(AND(AH37=2,AI37=3),"MODERADO",IF(AND(AH37=3,AI37=2),"MODERADO",IF(AND(AH37=4,AI37=1),"MODERADO",IF(AND(AH37=5,AI37=1),"ALTO",IF(AND(AH37=4,AI37=2),"ALTO",IF(AND(AH37=3,AI37=3),"ALTO",IF(AND(AH37=2,AI37=4),"ALTO",IF(AND(AH37=1,AI37=4),"ALTO",IF(AND(AH37=5,AI37=2),"ALTO",IF(AND(AH37=4,AI37=3),"ALTO","EXTREMO"))))))))))))))))</f>
        <v>MODERADO</v>
      </c>
      <c r="AL37" s="68" t="s">
        <v>95</v>
      </c>
      <c r="AM37" s="95" t="s">
        <v>217</v>
      </c>
      <c r="AN37" s="95" t="s">
        <v>218</v>
      </c>
      <c r="AO37" s="95" t="s">
        <v>211</v>
      </c>
      <c r="AP37" s="147" t="s">
        <v>212</v>
      </c>
    </row>
    <row r="38" spans="1:42" x14ac:dyDescent="0.3">
      <c r="A38" s="61"/>
      <c r="B38" s="68"/>
      <c r="C38" s="93"/>
      <c r="D38" s="93"/>
      <c r="E38" s="93"/>
      <c r="F38" s="96"/>
      <c r="G38" s="82"/>
      <c r="H38" s="90"/>
      <c r="I38" s="68"/>
      <c r="J38" s="61"/>
      <c r="K38" s="61"/>
      <c r="L38" s="65"/>
      <c r="M38" s="121"/>
      <c r="N38" s="93"/>
      <c r="O38" s="99"/>
      <c r="P38" s="93"/>
      <c r="Q38" s="93"/>
      <c r="R38" s="102"/>
      <c r="S38" s="102"/>
      <c r="T38" s="102"/>
      <c r="U38" s="102"/>
      <c r="V38" s="102"/>
      <c r="W38" s="102"/>
      <c r="X38" s="102"/>
      <c r="Y38" s="102"/>
      <c r="Z38" s="102"/>
      <c r="AA38" s="102"/>
      <c r="AB38" s="102"/>
      <c r="AC38" s="102"/>
      <c r="AD38" s="102"/>
      <c r="AE38" s="102"/>
      <c r="AF38" s="99"/>
      <c r="AG38" s="61"/>
      <c r="AH38" s="61"/>
      <c r="AI38" s="61"/>
      <c r="AJ38" s="65"/>
      <c r="AK38" s="121"/>
      <c r="AL38" s="68"/>
      <c r="AM38" s="93"/>
      <c r="AN38" s="93"/>
      <c r="AO38" s="93"/>
      <c r="AP38" s="148"/>
    </row>
    <row r="39" spans="1:42" x14ac:dyDescent="0.3">
      <c r="A39" s="61"/>
      <c r="B39" s="68"/>
      <c r="C39" s="93"/>
      <c r="D39" s="93"/>
      <c r="E39" s="93"/>
      <c r="F39" s="96"/>
      <c r="G39" s="82"/>
      <c r="H39" s="90"/>
      <c r="I39" s="68"/>
      <c r="J39" s="61"/>
      <c r="K39" s="61"/>
      <c r="L39" s="65"/>
      <c r="M39" s="121"/>
      <c r="N39" s="93"/>
      <c r="O39" s="99"/>
      <c r="P39" s="93"/>
      <c r="Q39" s="93"/>
      <c r="R39" s="102"/>
      <c r="S39" s="102"/>
      <c r="T39" s="102"/>
      <c r="U39" s="102"/>
      <c r="V39" s="102"/>
      <c r="W39" s="102"/>
      <c r="X39" s="102"/>
      <c r="Y39" s="102"/>
      <c r="Z39" s="102"/>
      <c r="AA39" s="102"/>
      <c r="AB39" s="102"/>
      <c r="AC39" s="102"/>
      <c r="AD39" s="102"/>
      <c r="AE39" s="102"/>
      <c r="AF39" s="99"/>
      <c r="AG39" s="61"/>
      <c r="AH39" s="61"/>
      <c r="AI39" s="61"/>
      <c r="AJ39" s="65"/>
      <c r="AK39" s="121"/>
      <c r="AL39" s="68"/>
      <c r="AM39" s="93"/>
      <c r="AN39" s="93"/>
      <c r="AO39" s="93"/>
      <c r="AP39" s="148"/>
    </row>
    <row r="40" spans="1:42" x14ac:dyDescent="0.3">
      <c r="A40" s="61"/>
      <c r="B40" s="68"/>
      <c r="C40" s="93"/>
      <c r="D40" s="93"/>
      <c r="E40" s="93"/>
      <c r="F40" s="96"/>
      <c r="G40" s="82"/>
      <c r="H40" s="90"/>
      <c r="I40" s="68"/>
      <c r="J40" s="61"/>
      <c r="K40" s="61"/>
      <c r="L40" s="65"/>
      <c r="M40" s="121"/>
      <c r="N40" s="93"/>
      <c r="O40" s="99"/>
      <c r="P40" s="93"/>
      <c r="Q40" s="93"/>
      <c r="R40" s="102"/>
      <c r="S40" s="102"/>
      <c r="T40" s="102"/>
      <c r="U40" s="102"/>
      <c r="V40" s="102"/>
      <c r="W40" s="102"/>
      <c r="X40" s="102"/>
      <c r="Y40" s="102"/>
      <c r="Z40" s="102"/>
      <c r="AA40" s="102"/>
      <c r="AB40" s="102"/>
      <c r="AC40" s="102"/>
      <c r="AD40" s="102"/>
      <c r="AE40" s="102"/>
      <c r="AF40" s="99"/>
      <c r="AG40" s="61"/>
      <c r="AH40" s="61"/>
      <c r="AI40" s="61"/>
      <c r="AJ40" s="65"/>
      <c r="AK40" s="121"/>
      <c r="AL40" s="68"/>
      <c r="AM40" s="93"/>
      <c r="AN40" s="93"/>
      <c r="AO40" s="93"/>
      <c r="AP40" s="148"/>
    </row>
    <row r="41" spans="1:42" x14ac:dyDescent="0.3">
      <c r="A41" s="61"/>
      <c r="B41" s="68"/>
      <c r="C41" s="94"/>
      <c r="D41" s="94"/>
      <c r="E41" s="94"/>
      <c r="F41" s="97"/>
      <c r="G41" s="82"/>
      <c r="H41" s="90"/>
      <c r="I41" s="68"/>
      <c r="J41" s="61"/>
      <c r="K41" s="61"/>
      <c r="L41" s="65"/>
      <c r="M41" s="121"/>
      <c r="N41" s="94"/>
      <c r="O41" s="100"/>
      <c r="P41" s="94"/>
      <c r="Q41" s="94"/>
      <c r="R41" s="103"/>
      <c r="S41" s="103"/>
      <c r="T41" s="103"/>
      <c r="U41" s="103"/>
      <c r="V41" s="103"/>
      <c r="W41" s="103"/>
      <c r="X41" s="103"/>
      <c r="Y41" s="103"/>
      <c r="Z41" s="103"/>
      <c r="AA41" s="103"/>
      <c r="AB41" s="103"/>
      <c r="AC41" s="103"/>
      <c r="AD41" s="103"/>
      <c r="AE41" s="103"/>
      <c r="AF41" s="100"/>
      <c r="AG41" s="61"/>
      <c r="AH41" s="61"/>
      <c r="AI41" s="61"/>
      <c r="AJ41" s="65"/>
      <c r="AK41" s="121"/>
      <c r="AL41" s="68"/>
      <c r="AM41" s="94"/>
      <c r="AN41" s="94"/>
      <c r="AO41" s="94"/>
      <c r="AP41" s="149"/>
    </row>
    <row r="42" spans="1:42" ht="69" x14ac:dyDescent="0.3">
      <c r="A42" s="61">
        <v>11</v>
      </c>
      <c r="B42" s="68" t="s">
        <v>109</v>
      </c>
      <c r="C42" s="44" t="s">
        <v>53</v>
      </c>
      <c r="D42" s="95" t="s">
        <v>15</v>
      </c>
      <c r="E42" s="95" t="s">
        <v>132</v>
      </c>
      <c r="F42" s="150" t="s">
        <v>219</v>
      </c>
      <c r="G42" s="151" t="s">
        <v>220</v>
      </c>
      <c r="H42" s="101" t="s">
        <v>221</v>
      </c>
      <c r="I42" s="95" t="s">
        <v>146</v>
      </c>
      <c r="J42" s="98">
        <v>2</v>
      </c>
      <c r="K42" s="61">
        <v>5</v>
      </c>
      <c r="L42" s="65">
        <f>J42*K42</f>
        <v>10</v>
      </c>
      <c r="M42" s="121" t="str">
        <f>IF(AND(J42=1,K42=1),"BAJO",IF(AND(J42=1,K42=2),"BAJO",IF(AND(J42=2,K42=1),"BAJO",IF(AND(J42=2,K42=2),"BAJO",IF(AND(J42=3,K42=1),"BAJO",IF(AND(J42=1,K42=3),"MODERADO",IF(AND(J42=2,K42=3),"MODERADO",IF(AND(J42=3,K42=2),"MODERADO",IF(AND(J42=4,K42=1),"MODERADO",IF(AND(J42=5,K42=1),"ALTO",IF(AND(J42=4,K42=2),"ALTO",IF(AND(J42=3,K42=3),"ALTO",IF(AND(J42=2,K42=4),"ALTO",IF(AND(J42=1,K42=4),"ALTO",IF(AND(J42=5,K42=2),"ALTO",IF(AND(J42=4,K42=3),"ALTO","EXTREMO"))))))))))))))))</f>
        <v>EXTREMO</v>
      </c>
      <c r="N42" s="112" t="s">
        <v>222</v>
      </c>
      <c r="O42" s="40" t="s">
        <v>0</v>
      </c>
      <c r="P42" s="44" t="s">
        <v>118</v>
      </c>
      <c r="Q42" s="44" t="s">
        <v>119</v>
      </c>
      <c r="R42" s="131" t="s">
        <v>111</v>
      </c>
      <c r="S42" s="43">
        <f>IF(R42="Asignado",[5]Listas!$C$30,[5]Listas!$C$31)</f>
        <v>15</v>
      </c>
      <c r="T42" s="131" t="s">
        <v>63</v>
      </c>
      <c r="U42" s="43">
        <f>IF(T42="Adecuado",[5]Listas!$C$32,[5]Listas!$C$33)</f>
        <v>15</v>
      </c>
      <c r="V42" s="131" t="s">
        <v>65</v>
      </c>
      <c r="W42" s="43">
        <f>IF(V42="Oportuna",[5]Listas!$C$34,[5]Listas!$C$35)</f>
        <v>15</v>
      </c>
      <c r="X42" s="131" t="s">
        <v>73</v>
      </c>
      <c r="Y42" s="43">
        <f>IF(X42="Prevenir",[5]Listas!$C$36,IF(X42="Detectar",[5]Listas!$C$37,[5]Listas!$C$38))</f>
        <v>15</v>
      </c>
      <c r="Z42" s="131" t="s">
        <v>68</v>
      </c>
      <c r="AA42" s="43">
        <f>IF(Z42="Confiable",[5]Listas!$C$39,[5]Listas!$C$40)</f>
        <v>15</v>
      </c>
      <c r="AB42" s="131" t="s">
        <v>70</v>
      </c>
      <c r="AC42" s="43">
        <f>IF(AB42="Se investigan y resuelven oportunamente",[5]Listas!$C$41,[5]Listas!$C$42)</f>
        <v>15</v>
      </c>
      <c r="AD42" s="131" t="s">
        <v>72</v>
      </c>
      <c r="AE42" s="43">
        <f>IF(AD42="Completa",[5]Listas!$C$43,IF(AD42="Incompleta",[5]Listas!$C$44,[5]Listas!$C$45))</f>
        <v>10</v>
      </c>
      <c r="AF42" s="40">
        <f>S42+U42+W42+Y42+AA42+AC42+AE42</f>
        <v>100</v>
      </c>
      <c r="AG42" s="98">
        <f>AVERAGE(AF42:AF43)</f>
        <v>100</v>
      </c>
      <c r="AH42" s="98">
        <v>1</v>
      </c>
      <c r="AI42" s="61">
        <v>5</v>
      </c>
      <c r="AJ42" s="65">
        <f>AH42*AI42</f>
        <v>5</v>
      </c>
      <c r="AK42" s="121" t="str">
        <f>IF(AND(AH42=1,AI42=1),"BAJO",IF(AND(AH42=1,AI42=2),"BAJO",IF(AND(AH42=2,AI42=1),"BAJO",IF(AND(AH42=2,AI42=2),"BAJO",IF(AND(AH42=3,AI42=1),"BAJO",IF(AND(AH42=1,AI42=3),"MODERADO",IF(AND(AH42=2,AI42=3),"MODERADO",IF(AND(AH42=3,AI42=2),"MODERADO",IF(AND(AH42=4,AI42=1),"MODERADO",IF(AND(AH42=5,AI42=1),"ALTO",IF(AND(AH42=4,AI42=2),"ALTO",IF(AND(AH42=3,AI42=3),"ALTO",IF(AND(AH42=2,AI42=4),"ALTO",IF(AND(AH42=1,AI42=4),"ALTO",IF(AND(AH42=5,AI42=2),"ALTO",IF(AND(AH42=4,AI42=3),"ALTO","EXTREMO"))))))))))))))))</f>
        <v>EXTREMO</v>
      </c>
      <c r="AL42" s="101" t="s">
        <v>95</v>
      </c>
      <c r="AM42" s="95" t="s">
        <v>223</v>
      </c>
      <c r="AN42" s="95" t="s">
        <v>224</v>
      </c>
      <c r="AO42" s="95" t="s">
        <v>225</v>
      </c>
      <c r="AP42" s="152" t="s">
        <v>226</v>
      </c>
    </row>
    <row r="43" spans="1:42" ht="96.6" x14ac:dyDescent="0.3">
      <c r="A43" s="61"/>
      <c r="B43" s="68"/>
      <c r="C43" s="44" t="s">
        <v>50</v>
      </c>
      <c r="D43" s="94"/>
      <c r="E43" s="93"/>
      <c r="F43" s="150" t="s">
        <v>227</v>
      </c>
      <c r="G43" s="153"/>
      <c r="H43" s="103"/>
      <c r="I43" s="94"/>
      <c r="J43" s="100"/>
      <c r="K43" s="61"/>
      <c r="L43" s="65"/>
      <c r="M43" s="121"/>
      <c r="N43" s="150" t="s">
        <v>228</v>
      </c>
      <c r="O43" s="40" t="s">
        <v>0</v>
      </c>
      <c r="P43" s="44" t="s">
        <v>117</v>
      </c>
      <c r="Q43" s="44" t="s">
        <v>119</v>
      </c>
      <c r="R43" s="131" t="s">
        <v>111</v>
      </c>
      <c r="S43" s="43">
        <f>IF(R43="Asignado",[5]Listas!$C$30,[5]Listas!$C$31)</f>
        <v>15</v>
      </c>
      <c r="T43" s="131" t="s">
        <v>63</v>
      </c>
      <c r="U43" s="43">
        <f>IF(T43="Adecuado",[5]Listas!$C$32,[5]Listas!$C$33)</f>
        <v>15</v>
      </c>
      <c r="V43" s="131" t="s">
        <v>65</v>
      </c>
      <c r="W43" s="43">
        <f>IF(V43="Oportuna",[5]Listas!$C$34,[5]Listas!$C$35)</f>
        <v>15</v>
      </c>
      <c r="X43" s="131" t="s">
        <v>73</v>
      </c>
      <c r="Y43" s="43">
        <f>IF(X43="Prevenir",[5]Listas!$C$36,IF(X43="Detectar",[5]Listas!$C$37,[5]Listas!$C$38))</f>
        <v>15</v>
      </c>
      <c r="Z43" s="131" t="s">
        <v>68</v>
      </c>
      <c r="AA43" s="43">
        <f>IF(Z43="Confiable",[5]Listas!$C$39,[5]Listas!$C$40)</f>
        <v>15</v>
      </c>
      <c r="AB43" s="131" t="s">
        <v>70</v>
      </c>
      <c r="AC43" s="43">
        <f>IF(AB43="Se investigan y resuelven oportunamente",[5]Listas!$C$41,[5]Listas!$C$42)</f>
        <v>15</v>
      </c>
      <c r="AD43" s="131" t="s">
        <v>72</v>
      </c>
      <c r="AE43" s="43">
        <f>IF(AD43="Completa",[5]Listas!$C$43,IF(AD43="Incompleta",[5]Listas!$C$44,[5]Listas!$C$45))</f>
        <v>10</v>
      </c>
      <c r="AF43" s="40">
        <f t="shared" ref="AF43:AF45" si="19">S43+U43+W43+Y43+AA43+AC43+AE43</f>
        <v>100</v>
      </c>
      <c r="AG43" s="100"/>
      <c r="AH43" s="100"/>
      <c r="AI43" s="61"/>
      <c r="AJ43" s="65"/>
      <c r="AK43" s="121"/>
      <c r="AL43" s="103"/>
      <c r="AM43" s="94"/>
      <c r="AN43" s="94"/>
      <c r="AO43" s="94"/>
      <c r="AP43" s="154"/>
    </row>
    <row r="44" spans="1:42" x14ac:dyDescent="0.3">
      <c r="A44" s="61">
        <v>12</v>
      </c>
      <c r="B44" s="68" t="s">
        <v>109</v>
      </c>
      <c r="C44" s="44" t="s">
        <v>52</v>
      </c>
      <c r="D44" s="112"/>
      <c r="E44" s="95" t="s">
        <v>132</v>
      </c>
      <c r="F44" s="150" t="s">
        <v>229</v>
      </c>
      <c r="G44" s="151" t="s">
        <v>230</v>
      </c>
      <c r="H44" s="101" t="s">
        <v>231</v>
      </c>
      <c r="I44" s="95" t="s">
        <v>146</v>
      </c>
      <c r="J44" s="98">
        <v>2</v>
      </c>
      <c r="K44" s="61">
        <v>4</v>
      </c>
      <c r="L44" s="65">
        <f t="shared" ref="L44:L45" si="20">J44*K44</f>
        <v>8</v>
      </c>
      <c r="M44" s="121" t="str">
        <f t="shared" ref="M44:M45" si="21">IF(AND(J44=1,K44=1),"BAJO",IF(AND(J44=1,K44=2),"BAJO",IF(AND(J44=2,K44=1),"BAJO",IF(AND(J44=2,K44=2),"BAJO",IF(AND(J44=3,K44=1),"BAJO",IF(AND(J44=1,K44=3),"MODERADO",IF(AND(J44=2,K44=3),"MODERADO",IF(AND(J44=3,K44=2),"MODERADO",IF(AND(J44=4,K44=1),"MODERADO",IF(AND(J44=5,K44=1),"ALTO",IF(AND(J44=4,K44=2),"ALTO",IF(AND(J44=3,K44=3),"ALTO",IF(AND(J44=2,K44=4),"ALTO",IF(AND(J44=1,K44=4),"ALTO",IF(AND(J44=5,K44=2),"ALTO",IF(AND(J44=4,K44=3),"ALTO","EXTREMO"))))))))))))))))</f>
        <v>ALTO</v>
      </c>
      <c r="N44" s="118" t="s">
        <v>232</v>
      </c>
      <c r="O44" s="98" t="s">
        <v>0</v>
      </c>
      <c r="P44" s="95" t="s">
        <v>117</v>
      </c>
      <c r="Q44" s="95" t="s">
        <v>119</v>
      </c>
      <c r="R44" s="101" t="s">
        <v>111</v>
      </c>
      <c r="S44" s="101">
        <f>IF(R44="Asignado",[5]Listas!$C$30,[5]Listas!$C$31)</f>
        <v>15</v>
      </c>
      <c r="T44" s="101" t="s">
        <v>63</v>
      </c>
      <c r="U44" s="101">
        <f>IF(T44="Adecuado",[5]Listas!$C$32,[5]Listas!$C$33)</f>
        <v>15</v>
      </c>
      <c r="V44" s="101" t="s">
        <v>65</v>
      </c>
      <c r="W44" s="101">
        <f>IF(V44="Oportuna",[5]Listas!$C$34,[5]Listas!$C$35)</f>
        <v>15</v>
      </c>
      <c r="X44" s="101" t="s">
        <v>73</v>
      </c>
      <c r="Y44" s="101">
        <f>IF(X44="Prevenir",[5]Listas!$C$36,IF(X44="Detectar",[5]Listas!$C$37,[5]Listas!$C$38))</f>
        <v>15</v>
      </c>
      <c r="Z44" s="101" t="s">
        <v>68</v>
      </c>
      <c r="AA44" s="101">
        <f>IF(Z44="Confiable",[5]Listas!$C$39,[5]Listas!$C$40)</f>
        <v>15</v>
      </c>
      <c r="AB44" s="101" t="s">
        <v>70</v>
      </c>
      <c r="AC44" s="101">
        <f>IF(AB44="Se investigan y resuelven oportunamente",[5]Listas!$C$41,[5]Listas!$C$42)</f>
        <v>15</v>
      </c>
      <c r="AD44" s="101" t="s">
        <v>72</v>
      </c>
      <c r="AE44" s="101">
        <f>IF(AD44="Completa",[5]Listas!$C$43,IF(AD44="Incompleta",[5]Listas!$C$44,[5]Listas!$C$45))</f>
        <v>10</v>
      </c>
      <c r="AF44" s="98">
        <f t="shared" si="19"/>
        <v>100</v>
      </c>
      <c r="AG44" s="98">
        <f>AVERAGE(AF44:AF44)</f>
        <v>100</v>
      </c>
      <c r="AH44" s="98">
        <v>2</v>
      </c>
      <c r="AI44" s="61">
        <v>3</v>
      </c>
      <c r="AJ44" s="65">
        <f>+AH44*AI44</f>
        <v>6</v>
      </c>
      <c r="AK44" s="121" t="str">
        <f t="shared" ref="AK44:AK45" si="22">IF(AND(AH44=1,AI44=1),"BAJO",IF(AND(AH44=1,AI44=2),"BAJO",IF(AND(AH44=2,AI44=1),"BAJO",IF(AND(AH44=2,AI44=2),"BAJO",IF(AND(AH44=3,AI44=1),"BAJO",IF(AND(AH44=1,AI44=3),"MODERADO",IF(AND(AH44=2,AI44=3),"MODERADO",IF(AND(AH44=3,AI44=2),"MODERADO",IF(AND(AH44=4,AI44=1),"MODERADO",IF(AND(AH44=5,AI44=1),"ALTO",IF(AND(AH44=4,AI44=2),"ALTO",IF(AND(AH44=3,AI44=3),"ALTO",IF(AND(AH44=2,AI44=4),"ALTO",IF(AND(AH44=1,AI44=4),"ALTO",IF(AND(AH44=5,AI44=2),"ALTO",IF(AND(AH44=4,AI44=3),"ALTO","EXTREMO"))))))))))))))))</f>
        <v>MODERADO</v>
      </c>
      <c r="AL44" s="101" t="s">
        <v>95</v>
      </c>
      <c r="AM44" s="95" t="s">
        <v>233</v>
      </c>
      <c r="AN44" s="95" t="s">
        <v>234</v>
      </c>
      <c r="AO44" s="95" t="s">
        <v>225</v>
      </c>
      <c r="AP44" s="152" t="s">
        <v>226</v>
      </c>
    </row>
    <row r="45" spans="1:42" ht="27.6" x14ac:dyDescent="0.3">
      <c r="A45" s="61"/>
      <c r="B45" s="68"/>
      <c r="C45" s="44" t="s">
        <v>53</v>
      </c>
      <c r="D45" s="44" t="s">
        <v>15</v>
      </c>
      <c r="E45" s="93"/>
      <c r="F45" s="150" t="s">
        <v>235</v>
      </c>
      <c r="G45" s="153"/>
      <c r="H45" s="103"/>
      <c r="I45" s="94"/>
      <c r="J45" s="100"/>
      <c r="K45" s="61"/>
      <c r="L45" s="65"/>
      <c r="M45" s="121"/>
      <c r="N45" s="126"/>
      <c r="O45" s="100"/>
      <c r="P45" s="94"/>
      <c r="Q45" s="94"/>
      <c r="R45" s="103"/>
      <c r="S45" s="103"/>
      <c r="T45" s="103"/>
      <c r="U45" s="103"/>
      <c r="V45" s="103"/>
      <c r="W45" s="103"/>
      <c r="X45" s="103"/>
      <c r="Y45" s="103"/>
      <c r="Z45" s="103"/>
      <c r="AA45" s="103"/>
      <c r="AB45" s="103"/>
      <c r="AC45" s="103"/>
      <c r="AD45" s="103"/>
      <c r="AE45" s="103"/>
      <c r="AF45" s="100"/>
      <c r="AG45" s="100"/>
      <c r="AH45" s="100"/>
      <c r="AI45" s="61"/>
      <c r="AJ45" s="65"/>
      <c r="AK45" s="121"/>
      <c r="AL45" s="103"/>
      <c r="AM45" s="94"/>
      <c r="AN45" s="94"/>
      <c r="AO45" s="94"/>
      <c r="AP45" s="154"/>
    </row>
    <row r="46" spans="1:42" x14ac:dyDescent="0.3">
      <c r="A46" s="61">
        <v>13</v>
      </c>
      <c r="B46" s="61" t="s">
        <v>114</v>
      </c>
      <c r="C46" s="68" t="s">
        <v>50</v>
      </c>
      <c r="D46" s="68" t="s">
        <v>112</v>
      </c>
      <c r="E46" s="68" t="s">
        <v>132</v>
      </c>
      <c r="F46" s="137" t="s">
        <v>236</v>
      </c>
      <c r="G46" s="155" t="s">
        <v>237</v>
      </c>
      <c r="H46" s="89" t="s">
        <v>238</v>
      </c>
      <c r="I46" s="68" t="s">
        <v>128</v>
      </c>
      <c r="J46" s="61">
        <v>1</v>
      </c>
      <c r="K46" s="61">
        <v>4</v>
      </c>
      <c r="L46" s="156">
        <f>J46*K46</f>
        <v>4</v>
      </c>
      <c r="M46" s="121" t="str">
        <f t="shared" ref="M46" si="23">IF(AND(J46=1,K46=1),"BAJO",IF(AND(J46=1,K46=2),"BAJO",IF(AND(J46=2,K46=1),"BAJO",IF(AND(J46=2,K46=2),"BAJO",IF(AND(J46=3,K46=1),"BAJO",IF(AND(J46=1,K46=3),"MODERADO",IF(AND(J46=2,K46=3),"MODERADO",IF(AND(J46=3,K46=2),"MODERADO",IF(AND(J46=4,K46=1),"MODERADO",IF(AND(J46=5,K46=1),"ALTO",IF(AND(J46=4,K46=2),"ALTO",IF(AND(J46=3,K46=3),"ALTO",IF(AND(J46=2,K46=4),"ALTO",IF(AND(J46=1,K46=4),"ALTO",IF(AND(J46=5,K46=2),"ALTO",IF(AND(J46=4,K46=3),"ALTO","EXTREMO"))))))))))))))))</f>
        <v>ALTO</v>
      </c>
      <c r="N46" s="80" t="s">
        <v>239</v>
      </c>
      <c r="O46" s="61" t="s">
        <v>0</v>
      </c>
      <c r="P46" s="68" t="s">
        <v>117</v>
      </c>
      <c r="Q46" s="68" t="s">
        <v>119</v>
      </c>
      <c r="R46" s="82" t="s">
        <v>111</v>
      </c>
      <c r="S46" s="82">
        <f>IF(R46="Asignado",[6]Listas!$C$30,[6]Listas!$C$31)</f>
        <v>15</v>
      </c>
      <c r="T46" s="82" t="s">
        <v>63</v>
      </c>
      <c r="U46" s="82">
        <f>IF(T46="Adecuado",[6]Listas!$C$32,[6]Listas!$C$33)</f>
        <v>15</v>
      </c>
      <c r="V46" s="82" t="s">
        <v>65</v>
      </c>
      <c r="W46" s="82">
        <f>IF(V46="Oportuna",[6]Listas!$C$34,[6]Listas!$C$35)</f>
        <v>15</v>
      </c>
      <c r="X46" s="82" t="s">
        <v>73</v>
      </c>
      <c r="Y46" s="82">
        <f>IF(X46="Prevenir",[6]Listas!$C$36,IF(X46="Detectar",[6]Listas!$C$37,[6]Listas!$C$38))</f>
        <v>15</v>
      </c>
      <c r="Z46" s="82" t="s">
        <v>68</v>
      </c>
      <c r="AA46" s="82">
        <f>IF(Z46="Confiable",[6]Listas!$C$39,[6]Listas!$C$40)</f>
        <v>15</v>
      </c>
      <c r="AB46" s="82" t="s">
        <v>70</v>
      </c>
      <c r="AC46" s="82">
        <f>IF(AB46="Se investigan y resuelven oportunamente",[6]Listas!$C$41,[6]Listas!$C$42)</f>
        <v>15</v>
      </c>
      <c r="AD46" s="82" t="s">
        <v>72</v>
      </c>
      <c r="AE46" s="82">
        <f>IF(AD46="Completa",[6]Listas!$C$43,IF(AD46="Incompleta",[6]Listas!$C$44,[6]Listas!$C$45))</f>
        <v>10</v>
      </c>
      <c r="AF46" s="61">
        <f>S46+U46+W46+Y46+AA46+AC46+AE46</f>
        <v>100</v>
      </c>
      <c r="AG46" s="82">
        <f>AVERAGE(AF46:AF50)</f>
        <v>100</v>
      </c>
      <c r="AH46" s="61">
        <v>1</v>
      </c>
      <c r="AI46" s="61">
        <v>4</v>
      </c>
      <c r="AJ46" s="157">
        <f t="shared" ref="AJ46" si="24">AH46*AI46</f>
        <v>4</v>
      </c>
      <c r="AK46" s="121" t="str">
        <f t="shared" ref="AK46" si="25">IF(AND(AH46=1,AI46=1),"BAJO",IF(AND(AH46=1,AI46=2),"BAJO",IF(AND(AH46=2,AI46=1),"BAJO",IF(AND(AH46=2,AI46=2),"BAJO",IF(AND(AH46=3,AI46=1),"BAJO",IF(AND(AH46=1,AI46=3),"MODERADO",IF(AND(AH46=2,AI46=3),"MODERADO",IF(AND(AH46=3,AI46=2),"MODERADO",IF(AND(AH46=4,AI46=1),"MODERADO",IF(AND(AH46=5,AI46=1),"ALTO",IF(AND(AH46=4,AI46=2),"ALTO",IF(AND(AH46=3,AI46=3),"ALTO",IF(AND(AH46=2,AI46=4),"ALTO",IF(AND(AH46=1,AI46=4),"ALTO",IF(AND(AH46=5,AI46=2),"ALTO",IF(AND(AH46=4,AI46=3),"ALTO","EXTREMO"))))))))))))))))</f>
        <v>ALTO</v>
      </c>
      <c r="AL46" s="82" t="s">
        <v>95</v>
      </c>
      <c r="AM46" s="68" t="s">
        <v>240</v>
      </c>
      <c r="AN46" s="68" t="s">
        <v>241</v>
      </c>
      <c r="AO46" s="68" t="s">
        <v>242</v>
      </c>
      <c r="AP46" s="68" t="s">
        <v>243</v>
      </c>
    </row>
    <row r="47" spans="1:42" x14ac:dyDescent="0.3">
      <c r="A47" s="61"/>
      <c r="B47" s="61"/>
      <c r="C47" s="68"/>
      <c r="D47" s="68"/>
      <c r="E47" s="68"/>
      <c r="F47" s="137"/>
      <c r="G47" s="155"/>
      <c r="H47" s="89"/>
      <c r="I47" s="68"/>
      <c r="J47" s="61"/>
      <c r="K47" s="61"/>
      <c r="L47" s="156"/>
      <c r="M47" s="121"/>
      <c r="N47" s="80"/>
      <c r="O47" s="61"/>
      <c r="P47" s="68"/>
      <c r="Q47" s="68"/>
      <c r="R47" s="82"/>
      <c r="S47" s="82"/>
      <c r="T47" s="82"/>
      <c r="U47" s="82"/>
      <c r="V47" s="82"/>
      <c r="W47" s="82"/>
      <c r="X47" s="82"/>
      <c r="Y47" s="82"/>
      <c r="Z47" s="82"/>
      <c r="AA47" s="82"/>
      <c r="AB47" s="82"/>
      <c r="AC47" s="82"/>
      <c r="AD47" s="82"/>
      <c r="AE47" s="82"/>
      <c r="AF47" s="61"/>
      <c r="AG47" s="82"/>
      <c r="AH47" s="61"/>
      <c r="AI47" s="61"/>
      <c r="AJ47" s="157"/>
      <c r="AK47" s="121"/>
      <c r="AL47" s="82"/>
      <c r="AM47" s="68"/>
      <c r="AN47" s="68"/>
      <c r="AO47" s="68"/>
      <c r="AP47" s="68"/>
    </row>
    <row r="48" spans="1:42" x14ac:dyDescent="0.3">
      <c r="A48" s="61"/>
      <c r="B48" s="61"/>
      <c r="C48" s="68"/>
      <c r="D48" s="68"/>
      <c r="E48" s="68"/>
      <c r="F48" s="137"/>
      <c r="G48" s="155"/>
      <c r="H48" s="89"/>
      <c r="I48" s="68"/>
      <c r="J48" s="61"/>
      <c r="K48" s="61"/>
      <c r="L48" s="156"/>
      <c r="M48" s="121"/>
      <c r="N48" s="80" t="s">
        <v>244</v>
      </c>
      <c r="O48" s="61" t="s">
        <v>0</v>
      </c>
      <c r="P48" s="68" t="s">
        <v>117</v>
      </c>
      <c r="Q48" s="68" t="s">
        <v>119</v>
      </c>
      <c r="R48" s="82" t="s">
        <v>111</v>
      </c>
      <c r="S48" s="82">
        <f>IF(R48="Asignado",[6]Listas!$C$30,[6]Listas!$C$31)</f>
        <v>15</v>
      </c>
      <c r="T48" s="82" t="s">
        <v>63</v>
      </c>
      <c r="U48" s="82">
        <f>IF(T48="Adecuado",[6]Listas!$C$32,[6]Listas!$C$33)</f>
        <v>15</v>
      </c>
      <c r="V48" s="82" t="s">
        <v>65</v>
      </c>
      <c r="W48" s="82">
        <f>IF(V48="Oportuna",[6]Listas!$C$34,[6]Listas!$C$35)</f>
        <v>15</v>
      </c>
      <c r="X48" s="82" t="s">
        <v>73</v>
      </c>
      <c r="Y48" s="82">
        <f>IF(X48="Prevenir",[6]Listas!$C$36,IF(X48="Detectar",[6]Listas!$C$37,[6]Listas!$C$38))</f>
        <v>15</v>
      </c>
      <c r="Z48" s="82" t="s">
        <v>68</v>
      </c>
      <c r="AA48" s="82">
        <f>IF(Z48="Confiable",[6]Listas!$C$39,[6]Listas!$C$40)</f>
        <v>15</v>
      </c>
      <c r="AB48" s="82" t="s">
        <v>70</v>
      </c>
      <c r="AC48" s="82">
        <f>IF(AB48="Se investigan y resuelven oportunamente",[6]Listas!$C$41,[6]Listas!$C$42)</f>
        <v>15</v>
      </c>
      <c r="AD48" s="82" t="s">
        <v>72</v>
      </c>
      <c r="AE48" s="82">
        <f>IF(AD48="Completa",[6]Listas!$C$43,IF(AD48="Incompleta",[6]Listas!$C$44,[6]Listas!$C$45))</f>
        <v>10</v>
      </c>
      <c r="AF48" s="61">
        <f>S48+U48+W48+Y48+AA48+AC48+AE48</f>
        <v>100</v>
      </c>
      <c r="AG48" s="82"/>
      <c r="AH48" s="61"/>
      <c r="AI48" s="61"/>
      <c r="AJ48" s="157"/>
      <c r="AK48" s="121"/>
      <c r="AL48" s="82"/>
      <c r="AM48" s="68"/>
      <c r="AN48" s="68"/>
      <c r="AO48" s="68"/>
      <c r="AP48" s="68"/>
    </row>
    <row r="49" spans="1:42" x14ac:dyDescent="0.3">
      <c r="A49" s="61"/>
      <c r="B49" s="61"/>
      <c r="C49" s="68"/>
      <c r="D49" s="68"/>
      <c r="E49" s="68"/>
      <c r="F49" s="137"/>
      <c r="G49" s="155"/>
      <c r="H49" s="89"/>
      <c r="I49" s="68"/>
      <c r="J49" s="61"/>
      <c r="K49" s="61"/>
      <c r="L49" s="156"/>
      <c r="M49" s="121"/>
      <c r="N49" s="80"/>
      <c r="O49" s="61"/>
      <c r="P49" s="68"/>
      <c r="Q49" s="68"/>
      <c r="R49" s="82"/>
      <c r="S49" s="82"/>
      <c r="T49" s="82"/>
      <c r="U49" s="82"/>
      <c r="V49" s="82"/>
      <c r="W49" s="82"/>
      <c r="X49" s="82"/>
      <c r="Y49" s="82"/>
      <c r="Z49" s="82"/>
      <c r="AA49" s="82"/>
      <c r="AB49" s="82"/>
      <c r="AC49" s="82"/>
      <c r="AD49" s="82"/>
      <c r="AE49" s="82"/>
      <c r="AF49" s="61"/>
      <c r="AG49" s="82"/>
      <c r="AH49" s="61"/>
      <c r="AI49" s="61"/>
      <c r="AJ49" s="157"/>
      <c r="AK49" s="121"/>
      <c r="AL49" s="82"/>
      <c r="AM49" s="68" t="s">
        <v>245</v>
      </c>
      <c r="AN49" s="68" t="s">
        <v>246</v>
      </c>
      <c r="AO49" s="68" t="s">
        <v>242</v>
      </c>
      <c r="AP49" s="68" t="s">
        <v>247</v>
      </c>
    </row>
    <row r="50" spans="1:42" ht="138" x14ac:dyDescent="0.3">
      <c r="A50" s="61"/>
      <c r="B50" s="61"/>
      <c r="C50" s="68"/>
      <c r="D50" s="68"/>
      <c r="E50" s="68"/>
      <c r="F50" s="137"/>
      <c r="G50" s="155"/>
      <c r="H50" s="89"/>
      <c r="I50" s="68"/>
      <c r="J50" s="61"/>
      <c r="K50" s="61"/>
      <c r="L50" s="156"/>
      <c r="M50" s="121"/>
      <c r="N50" s="45" t="s">
        <v>248</v>
      </c>
      <c r="O50" s="40" t="s">
        <v>0</v>
      </c>
      <c r="P50" s="44" t="s">
        <v>117</v>
      </c>
      <c r="Q50" s="44" t="s">
        <v>119</v>
      </c>
      <c r="R50" s="43" t="s">
        <v>111</v>
      </c>
      <c r="S50" s="43">
        <f>IF(R50="Asignado",[6]Listas!$C$30,[6]Listas!$C$31)</f>
        <v>15</v>
      </c>
      <c r="T50" s="43" t="s">
        <v>63</v>
      </c>
      <c r="U50" s="43">
        <f>IF(T50="Adecuado",[6]Listas!$C$32,[6]Listas!$C$33)</f>
        <v>15</v>
      </c>
      <c r="V50" s="43" t="s">
        <v>65</v>
      </c>
      <c r="W50" s="43">
        <f>IF(V50="Oportuna",[6]Listas!$C$34,[6]Listas!$C$35)</f>
        <v>15</v>
      </c>
      <c r="X50" s="43" t="s">
        <v>73</v>
      </c>
      <c r="Y50" s="43">
        <f>IF(X50="Prevenir",[6]Listas!$C$36,IF(X50="Detectar",[6]Listas!$C$37,[6]Listas!$C$38))</f>
        <v>15</v>
      </c>
      <c r="Z50" s="43" t="s">
        <v>68</v>
      </c>
      <c r="AA50" s="43">
        <f>IF(Z50="Confiable",[6]Listas!$C$39,[6]Listas!$C$40)</f>
        <v>15</v>
      </c>
      <c r="AB50" s="43" t="s">
        <v>70</v>
      </c>
      <c r="AC50" s="43">
        <f>IF(AB50="Se investigan y resuelven oportunamente",[6]Listas!$C$41,[6]Listas!$C$42)</f>
        <v>15</v>
      </c>
      <c r="AD50" s="43" t="s">
        <v>72</v>
      </c>
      <c r="AE50" s="43">
        <f>IF(AD50="Completa",[6]Listas!$C$43,IF(AD50="Incompleta",[6]Listas!$C$44,[6]Listas!$C$45))</f>
        <v>10</v>
      </c>
      <c r="AF50" s="40">
        <f>S50+U50+W50+Y50+AA50+AC50+AE50</f>
        <v>100</v>
      </c>
      <c r="AG50" s="82"/>
      <c r="AH50" s="61"/>
      <c r="AI50" s="61"/>
      <c r="AJ50" s="157"/>
      <c r="AK50" s="121"/>
      <c r="AL50" s="82"/>
      <c r="AM50" s="68"/>
      <c r="AN50" s="68"/>
      <c r="AO50" s="68"/>
      <c r="AP50" s="68"/>
    </row>
    <row r="51" spans="1:42" x14ac:dyDescent="0.3">
      <c r="A51" s="61">
        <v>14</v>
      </c>
      <c r="B51" s="61" t="s">
        <v>115</v>
      </c>
      <c r="C51" s="95" t="s">
        <v>52</v>
      </c>
      <c r="D51" s="95" t="s">
        <v>112</v>
      </c>
      <c r="E51" s="95" t="s">
        <v>132</v>
      </c>
      <c r="F51" s="158" t="s">
        <v>249</v>
      </c>
      <c r="G51" s="90" t="s">
        <v>250</v>
      </c>
      <c r="H51" s="90" t="s">
        <v>251</v>
      </c>
      <c r="I51" s="68" t="s">
        <v>128</v>
      </c>
      <c r="J51" s="61">
        <v>1</v>
      </c>
      <c r="K51" s="61">
        <v>3</v>
      </c>
      <c r="L51" s="65">
        <f>J51*K51</f>
        <v>3</v>
      </c>
      <c r="M51" s="121" t="str">
        <f>IF(AND(J51=1,K51=1),"BAJO",IF(AND(J51=1,K51=2),"BAJO",IF(AND(J51=2,K51=1),"BAJO",IF(AND(J51=2,K51=2),"BAJO",IF(AND(J51=3,K51=1),"BAJO",IF(AND(J51=1,K51=3),"MODERADO",IF(AND(J51=2,K51=3),"MODERADO",IF(AND(J51=3,K51=2),"MODERADO",IF(AND(J51=4,K51=1),"MODERADO",IF(AND(J51=5,K51=1),"ALTO",IF(AND(J51=4,K51=2),"ALTO",IF(AND(J51=3,K51=3),"ALTO",IF(AND(J51=2,K51=4),"ALTO",IF(AND(J51=1,K51=4),"ALTO",IF(AND(J51=5,K51=2),"ALTO",IF(AND(J51=4,K51=3),"ALTO","EXTREMO"))))))))))))))))</f>
        <v>MODERADO</v>
      </c>
      <c r="N51" s="159" t="s">
        <v>252</v>
      </c>
      <c r="O51" s="98" t="s">
        <v>0</v>
      </c>
      <c r="P51" s="95" t="s">
        <v>117</v>
      </c>
      <c r="Q51" s="95" t="s">
        <v>117</v>
      </c>
      <c r="R51" s="101" t="s">
        <v>111</v>
      </c>
      <c r="S51" s="101">
        <f>IF(R51="Asignado",[7]Listas!$C$30,[7]Listas!$C$31)</f>
        <v>15</v>
      </c>
      <c r="T51" s="101" t="s">
        <v>63</v>
      </c>
      <c r="U51" s="101">
        <f>IF(T51="Adecuado",[7]Listas!$C$32,[7]Listas!$C$33)</f>
        <v>15</v>
      </c>
      <c r="V51" s="101" t="s">
        <v>65</v>
      </c>
      <c r="W51" s="101">
        <f>IF(V51="Oportuna",[7]Listas!$C$34,[7]Listas!$C$35)</f>
        <v>15</v>
      </c>
      <c r="X51" s="101" t="s">
        <v>73</v>
      </c>
      <c r="Y51" s="101">
        <f>IF(X51="Prevenir",[7]Listas!$C$36,IF(X51="Detectar",[7]Listas!$C$37,[7]Listas!$C$38))</f>
        <v>15</v>
      </c>
      <c r="Z51" s="101" t="s">
        <v>68</v>
      </c>
      <c r="AA51" s="101">
        <f>IF(Z51="Confiable",[7]Listas!$C$39,[7]Listas!$C$40)</f>
        <v>15</v>
      </c>
      <c r="AB51" s="101" t="s">
        <v>70</v>
      </c>
      <c r="AC51" s="101">
        <f>IF(AB51="Se investigan y resuelven oportunamente",[7]Listas!$C$41,[7]Listas!$C$42)</f>
        <v>15</v>
      </c>
      <c r="AD51" s="101" t="s">
        <v>72</v>
      </c>
      <c r="AE51" s="101">
        <f>IF(AD51="Completa",[7]Listas!$C$43,IF(AD51="Incompleta",[7]Listas!$C$44,[7]Listas!$C$45))</f>
        <v>10</v>
      </c>
      <c r="AF51" s="98">
        <f t="shared" ref="AF51:AF55" si="26">S51+U51+W51+Y51+AA51+AC51+AE51</f>
        <v>100</v>
      </c>
      <c r="AG51" s="61">
        <f>AVERAGE(AF51:AF55)</f>
        <v>100</v>
      </c>
      <c r="AH51" s="61">
        <v>1</v>
      </c>
      <c r="AI51" s="61">
        <v>3</v>
      </c>
      <c r="AJ51" s="65">
        <f>AH51*AI51</f>
        <v>3</v>
      </c>
      <c r="AK51" s="121" t="str">
        <f>IF(AND(AH51=1,AI51=1),"BAJO",IF(AND(AH51=1,AI51=2),"BAJO",IF(AND(AH51=2,AI51=1),"BAJO",IF(AND(AH51=2,AI51=2),"BAJO",IF(AND(AH51=3,AI51=1),"BAJO",IF(AND(AH51=1,AI51=3),"MODERADO",IF(AND(AH51=2,AI51=3),"MODERADO",IF(AND(AH51=3,AI51=2),"MODERADO",IF(AND(AH51=4,AI51=1),"MODERADO",IF(AND(AH51=5,AI51=1),"ALTO",IF(AND(AH51=4,AI51=2),"ALTO",IF(AND(AH51=3,AI51=3),"ALTO",IF(AND(AH51=2,AI51=4),"ALTO",IF(AND(AH51=1,AI51=4),"ALTO",IF(AND(AH51=5,AI51=2),"ALTO",IF(AND(AH51=4,AI51=3),"ALTO","EXTREMO"))))))))))))))))</f>
        <v>MODERADO</v>
      </c>
      <c r="AL51" s="82" t="s">
        <v>95</v>
      </c>
      <c r="AM51" s="158" t="s">
        <v>253</v>
      </c>
      <c r="AN51" s="95" t="s">
        <v>241</v>
      </c>
      <c r="AO51" s="118" t="s">
        <v>254</v>
      </c>
      <c r="AP51" s="160" t="s">
        <v>255</v>
      </c>
    </row>
    <row r="52" spans="1:42" x14ac:dyDescent="0.3">
      <c r="A52" s="61"/>
      <c r="B52" s="61"/>
      <c r="C52" s="93"/>
      <c r="D52" s="93"/>
      <c r="E52" s="93"/>
      <c r="F52" s="161"/>
      <c r="G52" s="90"/>
      <c r="H52" s="90"/>
      <c r="I52" s="68"/>
      <c r="J52" s="61"/>
      <c r="K52" s="61"/>
      <c r="L52" s="65"/>
      <c r="M52" s="121"/>
      <c r="N52" s="162"/>
      <c r="O52" s="99"/>
      <c r="P52" s="93"/>
      <c r="Q52" s="93"/>
      <c r="R52" s="102"/>
      <c r="S52" s="102"/>
      <c r="T52" s="102"/>
      <c r="U52" s="102"/>
      <c r="V52" s="102"/>
      <c r="W52" s="102"/>
      <c r="X52" s="102"/>
      <c r="Y52" s="102"/>
      <c r="Z52" s="102"/>
      <c r="AA52" s="102"/>
      <c r="AB52" s="102"/>
      <c r="AC52" s="102"/>
      <c r="AD52" s="102"/>
      <c r="AE52" s="102"/>
      <c r="AF52" s="99"/>
      <c r="AG52" s="61"/>
      <c r="AH52" s="61"/>
      <c r="AI52" s="61"/>
      <c r="AJ52" s="65"/>
      <c r="AK52" s="121"/>
      <c r="AL52" s="82"/>
      <c r="AM52" s="161"/>
      <c r="AN52" s="93"/>
      <c r="AO52" s="146"/>
      <c r="AP52" s="163"/>
    </row>
    <row r="53" spans="1:42" x14ac:dyDescent="0.3">
      <c r="A53" s="61"/>
      <c r="B53" s="61"/>
      <c r="C53" s="93"/>
      <c r="D53" s="93"/>
      <c r="E53" s="93"/>
      <c r="F53" s="161"/>
      <c r="G53" s="90"/>
      <c r="H53" s="90"/>
      <c r="I53" s="68"/>
      <c r="J53" s="61"/>
      <c r="K53" s="61"/>
      <c r="L53" s="65"/>
      <c r="M53" s="121"/>
      <c r="N53" s="162"/>
      <c r="O53" s="99"/>
      <c r="P53" s="93"/>
      <c r="Q53" s="93"/>
      <c r="R53" s="102"/>
      <c r="S53" s="102"/>
      <c r="T53" s="102"/>
      <c r="U53" s="102"/>
      <c r="V53" s="102"/>
      <c r="W53" s="102"/>
      <c r="X53" s="102"/>
      <c r="Y53" s="102"/>
      <c r="Z53" s="102"/>
      <c r="AA53" s="102"/>
      <c r="AB53" s="102"/>
      <c r="AC53" s="102"/>
      <c r="AD53" s="102"/>
      <c r="AE53" s="102"/>
      <c r="AF53" s="99"/>
      <c r="AG53" s="61"/>
      <c r="AH53" s="61"/>
      <c r="AI53" s="61"/>
      <c r="AJ53" s="65"/>
      <c r="AK53" s="121"/>
      <c r="AL53" s="82"/>
      <c r="AM53" s="161"/>
      <c r="AN53" s="93"/>
      <c r="AO53" s="146"/>
      <c r="AP53" s="163"/>
    </row>
    <row r="54" spans="1:42" x14ac:dyDescent="0.3">
      <c r="A54" s="61"/>
      <c r="B54" s="61"/>
      <c r="C54" s="93"/>
      <c r="D54" s="93"/>
      <c r="E54" s="93"/>
      <c r="F54" s="161"/>
      <c r="G54" s="90"/>
      <c r="H54" s="90"/>
      <c r="I54" s="68"/>
      <c r="J54" s="61"/>
      <c r="K54" s="61"/>
      <c r="L54" s="65"/>
      <c r="M54" s="121"/>
      <c r="N54" s="162"/>
      <c r="O54" s="99"/>
      <c r="P54" s="93"/>
      <c r="Q54" s="93"/>
      <c r="R54" s="102"/>
      <c r="S54" s="102"/>
      <c r="T54" s="102"/>
      <c r="U54" s="102"/>
      <c r="V54" s="102"/>
      <c r="W54" s="102"/>
      <c r="X54" s="102"/>
      <c r="Y54" s="102"/>
      <c r="Z54" s="102"/>
      <c r="AA54" s="102"/>
      <c r="AB54" s="102"/>
      <c r="AC54" s="102"/>
      <c r="AD54" s="102"/>
      <c r="AE54" s="102"/>
      <c r="AF54" s="99"/>
      <c r="AG54" s="61"/>
      <c r="AH54" s="61"/>
      <c r="AI54" s="61"/>
      <c r="AJ54" s="65"/>
      <c r="AK54" s="121"/>
      <c r="AL54" s="82"/>
      <c r="AM54" s="161"/>
      <c r="AN54" s="93"/>
      <c r="AO54" s="146"/>
      <c r="AP54" s="163"/>
    </row>
    <row r="55" spans="1:42" x14ac:dyDescent="0.3">
      <c r="A55" s="61"/>
      <c r="B55" s="61"/>
      <c r="C55" s="94"/>
      <c r="D55" s="94"/>
      <c r="E55" s="94"/>
      <c r="F55" s="164"/>
      <c r="G55" s="90"/>
      <c r="H55" s="90"/>
      <c r="I55" s="68"/>
      <c r="J55" s="61"/>
      <c r="K55" s="61"/>
      <c r="L55" s="65"/>
      <c r="M55" s="121"/>
      <c r="N55" s="165"/>
      <c r="O55" s="100"/>
      <c r="P55" s="94"/>
      <c r="Q55" s="94"/>
      <c r="R55" s="103"/>
      <c r="S55" s="103"/>
      <c r="T55" s="103"/>
      <c r="U55" s="103"/>
      <c r="V55" s="103"/>
      <c r="W55" s="103"/>
      <c r="X55" s="103"/>
      <c r="Y55" s="103"/>
      <c r="Z55" s="103"/>
      <c r="AA55" s="103"/>
      <c r="AB55" s="103"/>
      <c r="AC55" s="103"/>
      <c r="AD55" s="103"/>
      <c r="AE55" s="103"/>
      <c r="AF55" s="100"/>
      <c r="AG55" s="61"/>
      <c r="AH55" s="61"/>
      <c r="AI55" s="61"/>
      <c r="AJ55" s="65"/>
      <c r="AK55" s="121"/>
      <c r="AL55" s="82"/>
      <c r="AM55" s="164"/>
      <c r="AN55" s="94"/>
      <c r="AO55" s="126"/>
      <c r="AP55" s="166"/>
    </row>
    <row r="129" spans="9:9" ht="33.75" customHeight="1" x14ac:dyDescent="0.3"/>
    <row r="130" spans="9:9" x14ac:dyDescent="0.3">
      <c r="I130" s="9"/>
    </row>
    <row r="131" spans="9:9" ht="33.75" customHeight="1" x14ac:dyDescent="0.3">
      <c r="I131" s="9"/>
    </row>
    <row r="132" spans="9:9" x14ac:dyDescent="0.3">
      <c r="I132" s="9"/>
    </row>
    <row r="133" spans="9:9" ht="33.75" customHeight="1" x14ac:dyDescent="0.3">
      <c r="I133" s="9"/>
    </row>
    <row r="134" spans="9:9" x14ac:dyDescent="0.3">
      <c r="I134" s="9"/>
    </row>
  </sheetData>
  <dataConsolidate/>
  <mergeCells count="493">
    <mergeCell ref="AM51:AM55"/>
    <mergeCell ref="AN51:AN55"/>
    <mergeCell ref="AO51:AO55"/>
    <mergeCell ref="AP51:AP55"/>
    <mergeCell ref="A51:A55"/>
    <mergeCell ref="AD51:AD55"/>
    <mergeCell ref="AE51:AE55"/>
    <mergeCell ref="AF51:AF55"/>
    <mergeCell ref="AG51:AG55"/>
    <mergeCell ref="AH51:AH55"/>
    <mergeCell ref="AI51:AI55"/>
    <mergeCell ref="AJ51:AJ55"/>
    <mergeCell ref="AK51:AK55"/>
    <mergeCell ref="AL51:AL55"/>
    <mergeCell ref="U51:U55"/>
    <mergeCell ref="V51:V55"/>
    <mergeCell ref="W51:W55"/>
    <mergeCell ref="X51:X55"/>
    <mergeCell ref="Y51:Y55"/>
    <mergeCell ref="Z51:Z55"/>
    <mergeCell ref="AA51:AA55"/>
    <mergeCell ref="AB51:AB55"/>
    <mergeCell ref="AC51:AC55"/>
    <mergeCell ref="AM49:AM50"/>
    <mergeCell ref="AN49:AN50"/>
    <mergeCell ref="AO49:AO50"/>
    <mergeCell ref="AP49:AP50"/>
    <mergeCell ref="A46:A50"/>
    <mergeCell ref="B51:B55"/>
    <mergeCell ref="C51:C55"/>
    <mergeCell ref="D51:D55"/>
    <mergeCell ref="E51:E55"/>
    <mergeCell ref="F51:F55"/>
    <mergeCell ref="G51:G55"/>
    <mergeCell ref="H51:H55"/>
    <mergeCell ref="I51:I55"/>
    <mergeCell ref="J51:J55"/>
    <mergeCell ref="K51:K55"/>
    <mergeCell ref="L51:L55"/>
    <mergeCell ref="M51:M55"/>
    <mergeCell ref="N51:N55"/>
    <mergeCell ref="O51:O55"/>
    <mergeCell ref="P51:P55"/>
    <mergeCell ref="Q51:Q55"/>
    <mergeCell ref="R51:R55"/>
    <mergeCell ref="S51:S55"/>
    <mergeCell ref="T51:T55"/>
    <mergeCell ref="AL46:AL50"/>
    <mergeCell ref="AM46:AM48"/>
    <mergeCell ref="AN46:AN48"/>
    <mergeCell ref="AO46:AO48"/>
    <mergeCell ref="AP46:AP48"/>
    <mergeCell ref="N48:N49"/>
    <mergeCell ref="O48:O49"/>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C46:AC47"/>
    <mergeCell ref="AD46:AD47"/>
    <mergeCell ref="AE46:AE47"/>
    <mergeCell ref="AF46:AF47"/>
    <mergeCell ref="AG46:AG50"/>
    <mergeCell ref="AH46:AH50"/>
    <mergeCell ref="AI46:AI50"/>
    <mergeCell ref="AJ46:AJ50"/>
    <mergeCell ref="AK46:AK50"/>
    <mergeCell ref="T46:T47"/>
    <mergeCell ref="U46:U47"/>
    <mergeCell ref="V46:V47"/>
    <mergeCell ref="W46:W47"/>
    <mergeCell ref="X46:X47"/>
    <mergeCell ref="Y46:Y47"/>
    <mergeCell ref="Z46:Z47"/>
    <mergeCell ref="AA46:AA47"/>
    <mergeCell ref="AB46:AB47"/>
    <mergeCell ref="K46:K50"/>
    <mergeCell ref="L46:L50"/>
    <mergeCell ref="M46:M50"/>
    <mergeCell ref="N46:N47"/>
    <mergeCell ref="O46:O47"/>
    <mergeCell ref="P46:P47"/>
    <mergeCell ref="Q46:Q47"/>
    <mergeCell ref="R46:R47"/>
    <mergeCell ref="S46:S47"/>
    <mergeCell ref="B46:B50"/>
    <mergeCell ref="C46:C50"/>
    <mergeCell ref="D46:D50"/>
    <mergeCell ref="E46:E50"/>
    <mergeCell ref="F46:F50"/>
    <mergeCell ref="G46:G50"/>
    <mergeCell ref="H46:H50"/>
    <mergeCell ref="I46:I50"/>
    <mergeCell ref="J46:J50"/>
    <mergeCell ref="AJ44:AJ45"/>
    <mergeCell ref="AK44:AK45"/>
    <mergeCell ref="AL44:AL45"/>
    <mergeCell ref="AM44:AM45"/>
    <mergeCell ref="AN44:AN45"/>
    <mergeCell ref="AO44:AO45"/>
    <mergeCell ref="AP44:AP45"/>
    <mergeCell ref="A42:A43"/>
    <mergeCell ref="A44:A45"/>
    <mergeCell ref="AA44:AA45"/>
    <mergeCell ref="AB44:AB45"/>
    <mergeCell ref="AC44:AC45"/>
    <mergeCell ref="AD44:AD45"/>
    <mergeCell ref="AE44:AE45"/>
    <mergeCell ref="AF44:AF45"/>
    <mergeCell ref="AG44:AG45"/>
    <mergeCell ref="AH44:AH45"/>
    <mergeCell ref="AI44:AI45"/>
    <mergeCell ref="AO42:AO43"/>
    <mergeCell ref="AP42:AP43"/>
    <mergeCell ref="B44:B45"/>
    <mergeCell ref="E44:E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U45"/>
    <mergeCell ref="V44:V45"/>
    <mergeCell ref="W44:W45"/>
    <mergeCell ref="X44:X45"/>
    <mergeCell ref="Y44:Y45"/>
    <mergeCell ref="Z44:Z45"/>
    <mergeCell ref="AM37:AM41"/>
    <mergeCell ref="AN37:AN41"/>
    <mergeCell ref="AO37:AO41"/>
    <mergeCell ref="AP37:AP41"/>
    <mergeCell ref="A32:A36"/>
    <mergeCell ref="A37:A41"/>
    <mergeCell ref="B42:B43"/>
    <mergeCell ref="D42:D43"/>
    <mergeCell ref="E42:E43"/>
    <mergeCell ref="G42:G43"/>
    <mergeCell ref="H42:H43"/>
    <mergeCell ref="I42:I43"/>
    <mergeCell ref="J42:J43"/>
    <mergeCell ref="K42:K43"/>
    <mergeCell ref="L42:L43"/>
    <mergeCell ref="M42:M43"/>
    <mergeCell ref="AG42:AG43"/>
    <mergeCell ref="AH42:AH43"/>
    <mergeCell ref="AI42:AI43"/>
    <mergeCell ref="AJ42:AJ43"/>
    <mergeCell ref="AK42:AK43"/>
    <mergeCell ref="AL42:AL43"/>
    <mergeCell ref="AM42:AM43"/>
    <mergeCell ref="AN42:AN43"/>
    <mergeCell ref="AD37:AD41"/>
    <mergeCell ref="AE37:AE41"/>
    <mergeCell ref="AF37:AF41"/>
    <mergeCell ref="AG37:AG41"/>
    <mergeCell ref="AH37:AH41"/>
    <mergeCell ref="AI37:AI41"/>
    <mergeCell ref="AJ37:AJ41"/>
    <mergeCell ref="AK37:AK41"/>
    <mergeCell ref="AL37:AL41"/>
    <mergeCell ref="U37:U41"/>
    <mergeCell ref="V37:V41"/>
    <mergeCell ref="W37:W41"/>
    <mergeCell ref="X37:X41"/>
    <mergeCell ref="Y37:Y41"/>
    <mergeCell ref="Z37:Z41"/>
    <mergeCell ref="AA37:AA41"/>
    <mergeCell ref="AB37:AB41"/>
    <mergeCell ref="AC37:AC41"/>
    <mergeCell ref="AL32:AL36"/>
    <mergeCell ref="AM32:AM36"/>
    <mergeCell ref="AN32:AN36"/>
    <mergeCell ref="AO32:AO36"/>
    <mergeCell ref="AP32:AP36"/>
    <mergeCell ref="B37:B41"/>
    <mergeCell ref="C37:C41"/>
    <mergeCell ref="D37:D41"/>
    <mergeCell ref="E37:E41"/>
    <mergeCell ref="F37:F41"/>
    <mergeCell ref="G37:G41"/>
    <mergeCell ref="H37:H41"/>
    <mergeCell ref="I37:I41"/>
    <mergeCell ref="J37:J41"/>
    <mergeCell ref="K37:K41"/>
    <mergeCell ref="L37:L41"/>
    <mergeCell ref="M37:M41"/>
    <mergeCell ref="N37:N41"/>
    <mergeCell ref="O37:O41"/>
    <mergeCell ref="P37:P41"/>
    <mergeCell ref="Q37:Q41"/>
    <mergeCell ref="R37:R41"/>
    <mergeCell ref="S37:S41"/>
    <mergeCell ref="T37:T41"/>
    <mergeCell ref="AC32:AC36"/>
    <mergeCell ref="AD32:AD36"/>
    <mergeCell ref="AE32:AE36"/>
    <mergeCell ref="AF32:AF36"/>
    <mergeCell ref="AG32:AG36"/>
    <mergeCell ref="AH32:AH36"/>
    <mergeCell ref="AI32:AI36"/>
    <mergeCell ref="AJ32:AJ36"/>
    <mergeCell ref="AK32:AK36"/>
    <mergeCell ref="T32:T36"/>
    <mergeCell ref="U32:U36"/>
    <mergeCell ref="V32:V36"/>
    <mergeCell ref="W32:W36"/>
    <mergeCell ref="X32:X36"/>
    <mergeCell ref="Y32:Y36"/>
    <mergeCell ref="Z32:Z36"/>
    <mergeCell ref="AA32:AA36"/>
    <mergeCell ref="AB32:AB36"/>
    <mergeCell ref="AL27:AL31"/>
    <mergeCell ref="AM27:AM31"/>
    <mergeCell ref="AN27:AN31"/>
    <mergeCell ref="AO27:AO31"/>
    <mergeCell ref="AP27:AP31"/>
    <mergeCell ref="A27:A31"/>
    <mergeCell ref="B32:B36"/>
    <mergeCell ref="C32:C36"/>
    <mergeCell ref="D32:D36"/>
    <mergeCell ref="E32:E36"/>
    <mergeCell ref="F32:F36"/>
    <mergeCell ref="G32:G36"/>
    <mergeCell ref="H32:H36"/>
    <mergeCell ref="I32:I36"/>
    <mergeCell ref="J32:J36"/>
    <mergeCell ref="K32:K36"/>
    <mergeCell ref="L32:L36"/>
    <mergeCell ref="M32:M36"/>
    <mergeCell ref="N32:N36"/>
    <mergeCell ref="O32:O36"/>
    <mergeCell ref="P32:P36"/>
    <mergeCell ref="Q32:Q36"/>
    <mergeCell ref="R32:R36"/>
    <mergeCell ref="S32:S36"/>
    <mergeCell ref="AC27:AC31"/>
    <mergeCell ref="AD27:AD31"/>
    <mergeCell ref="AE27:AE31"/>
    <mergeCell ref="AF27:AF31"/>
    <mergeCell ref="AG27:AG31"/>
    <mergeCell ref="AH27:AH31"/>
    <mergeCell ref="AI27:AI31"/>
    <mergeCell ref="AJ27:AJ31"/>
    <mergeCell ref="AK27:AK31"/>
    <mergeCell ref="T27:T31"/>
    <mergeCell ref="U27:U31"/>
    <mergeCell ref="V27:V31"/>
    <mergeCell ref="W27:W31"/>
    <mergeCell ref="X27:X31"/>
    <mergeCell ref="Y27:Y31"/>
    <mergeCell ref="Z27:Z31"/>
    <mergeCell ref="AA27:AA31"/>
    <mergeCell ref="AB27:AB31"/>
    <mergeCell ref="AO23:AO24"/>
    <mergeCell ref="AP23:AP24"/>
    <mergeCell ref="B23:B24"/>
    <mergeCell ref="A23:A24"/>
    <mergeCell ref="B27:B31"/>
    <mergeCell ref="C27:C31"/>
    <mergeCell ref="D27:D31"/>
    <mergeCell ref="E27:E31"/>
    <mergeCell ref="F27:F31"/>
    <mergeCell ref="G27:G31"/>
    <mergeCell ref="H27:H31"/>
    <mergeCell ref="I27:I31"/>
    <mergeCell ref="J27:J31"/>
    <mergeCell ref="K27:K31"/>
    <mergeCell ref="L27:L31"/>
    <mergeCell ref="M27:M31"/>
    <mergeCell ref="N27:N31"/>
    <mergeCell ref="O27:O31"/>
    <mergeCell ref="P27:P31"/>
    <mergeCell ref="Q27:Q31"/>
    <mergeCell ref="R27:R31"/>
    <mergeCell ref="S27:S31"/>
    <mergeCell ref="AF23:AF24"/>
    <mergeCell ref="AG23:AG24"/>
    <mergeCell ref="AH23:AH24"/>
    <mergeCell ref="AI23:AI24"/>
    <mergeCell ref="AJ23:AJ24"/>
    <mergeCell ref="AK23:AK24"/>
    <mergeCell ref="AL23:AL24"/>
    <mergeCell ref="AM23:AM24"/>
    <mergeCell ref="AN23:AN24"/>
    <mergeCell ref="W23:W24"/>
    <mergeCell ref="X23:X24"/>
    <mergeCell ref="Y23:Y24"/>
    <mergeCell ref="Z23:Z24"/>
    <mergeCell ref="AA23:AA24"/>
    <mergeCell ref="AB23:AB24"/>
    <mergeCell ref="AC23:AC24"/>
    <mergeCell ref="AD23:AD24"/>
    <mergeCell ref="AE23:AE24"/>
    <mergeCell ref="N23:N24"/>
    <mergeCell ref="O23:O24"/>
    <mergeCell ref="P23:P24"/>
    <mergeCell ref="Q23:Q24"/>
    <mergeCell ref="R23:R24"/>
    <mergeCell ref="S23:S24"/>
    <mergeCell ref="T23:T24"/>
    <mergeCell ref="U23:U24"/>
    <mergeCell ref="V23:V24"/>
    <mergeCell ref="C23:C24"/>
    <mergeCell ref="D23:D24"/>
    <mergeCell ref="E23:E24"/>
    <mergeCell ref="G23:G24"/>
    <mergeCell ref="I23:I24"/>
    <mergeCell ref="J23:J24"/>
    <mergeCell ref="K23:K24"/>
    <mergeCell ref="L23:L24"/>
    <mergeCell ref="M23:M24"/>
    <mergeCell ref="AK20:AK22"/>
    <mergeCell ref="AL20:AL22"/>
    <mergeCell ref="AM20:AM22"/>
    <mergeCell ref="AN20:AN22"/>
    <mergeCell ref="AO20:AO22"/>
    <mergeCell ref="AP20:AP22"/>
    <mergeCell ref="A16:A18"/>
    <mergeCell ref="A20:A22"/>
    <mergeCell ref="B16:B18"/>
    <mergeCell ref="B20:B22"/>
    <mergeCell ref="AB20:AB22"/>
    <mergeCell ref="AC20:AC22"/>
    <mergeCell ref="AD20:AD22"/>
    <mergeCell ref="AE20:AE22"/>
    <mergeCell ref="AF20:AF22"/>
    <mergeCell ref="AG20:AG22"/>
    <mergeCell ref="AH20:AH22"/>
    <mergeCell ref="AI20:AI22"/>
    <mergeCell ref="AJ20:AJ22"/>
    <mergeCell ref="AP16:AP18"/>
    <mergeCell ref="D20:D22"/>
    <mergeCell ref="E20:E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V20:V22"/>
    <mergeCell ref="W20:W22"/>
    <mergeCell ref="X20:X22"/>
    <mergeCell ref="Y20:Y22"/>
    <mergeCell ref="Z20:Z22"/>
    <mergeCell ref="AA20:AA22"/>
    <mergeCell ref="AG16:AG18"/>
    <mergeCell ref="AH16:AH18"/>
    <mergeCell ref="AI16:AI18"/>
    <mergeCell ref="AJ16:AJ18"/>
    <mergeCell ref="AK16:AK18"/>
    <mergeCell ref="AL16:AL18"/>
    <mergeCell ref="AM16:AM18"/>
    <mergeCell ref="AN16:AN18"/>
    <mergeCell ref="AO16:AO18"/>
    <mergeCell ref="X16:X18"/>
    <mergeCell ref="Y16:Y18"/>
    <mergeCell ref="Z16:Z18"/>
    <mergeCell ref="AA16:AA18"/>
    <mergeCell ref="AB16:AB18"/>
    <mergeCell ref="AC16:AC18"/>
    <mergeCell ref="AD16:AD18"/>
    <mergeCell ref="AE16:AE18"/>
    <mergeCell ref="AF16:AF18"/>
    <mergeCell ref="O16:O18"/>
    <mergeCell ref="P16:P18"/>
    <mergeCell ref="Q16:Q18"/>
    <mergeCell ref="R16:R18"/>
    <mergeCell ref="S16:S18"/>
    <mergeCell ref="T16:T18"/>
    <mergeCell ref="U16:U18"/>
    <mergeCell ref="V16:V18"/>
    <mergeCell ref="W16:W18"/>
    <mergeCell ref="C1:N1"/>
    <mergeCell ref="C2:N3"/>
    <mergeCell ref="B11:B15"/>
    <mergeCell ref="D16:D18"/>
    <mergeCell ref="E16:E18"/>
    <mergeCell ref="G16:G18"/>
    <mergeCell ref="H16:H18"/>
    <mergeCell ref="I16:I18"/>
    <mergeCell ref="J16:J18"/>
    <mergeCell ref="K16:K18"/>
    <mergeCell ref="L16:L18"/>
    <mergeCell ref="M16:M18"/>
    <mergeCell ref="N16:N18"/>
    <mergeCell ref="AD11:AD15"/>
    <mergeCell ref="AE11:AE15"/>
    <mergeCell ref="AF11:AF15"/>
    <mergeCell ref="AN11:AN15"/>
    <mergeCell ref="AG11:AG15"/>
    <mergeCell ref="AK11:AK15"/>
    <mergeCell ref="N11:N15"/>
    <mergeCell ref="O11:O15"/>
    <mergeCell ref="P11:P15"/>
    <mergeCell ref="Q11:Q15"/>
    <mergeCell ref="R11:R15"/>
    <mergeCell ref="S11:S15"/>
    <mergeCell ref="T11:T15"/>
    <mergeCell ref="U11:U15"/>
    <mergeCell ref="V11:V15"/>
    <mergeCell ref="W11:W15"/>
    <mergeCell ref="X11:X15"/>
    <mergeCell ref="Y11:Y15"/>
    <mergeCell ref="Z11:Z15"/>
    <mergeCell ref="AA11:AA15"/>
    <mergeCell ref="AB11:AB15"/>
    <mergeCell ref="AC11:AC15"/>
    <mergeCell ref="AF9:AF10"/>
    <mergeCell ref="K9:K10"/>
    <mergeCell ref="L9:M10"/>
    <mergeCell ref="AO11:AO15"/>
    <mergeCell ref="AM11:AM15"/>
    <mergeCell ref="A11:A15"/>
    <mergeCell ref="J11:J15"/>
    <mergeCell ref="F11:F15"/>
    <mergeCell ref="C11:C15"/>
    <mergeCell ref="D11:D15"/>
    <mergeCell ref="E11:E15"/>
    <mergeCell ref="AJ9:AK10"/>
    <mergeCell ref="AL11:AL15"/>
    <mergeCell ref="AI9:AI10"/>
    <mergeCell ref="AG9:AG10"/>
    <mergeCell ref="N9:N10"/>
    <mergeCell ref="O9:O10"/>
    <mergeCell ref="T10:U10"/>
    <mergeCell ref="V10:W10"/>
    <mergeCell ref="X10:Y10"/>
    <mergeCell ref="Z10:AA10"/>
    <mergeCell ref="AB10:AC10"/>
    <mergeCell ref="AD10:AE10"/>
    <mergeCell ref="Q9:Q10"/>
    <mergeCell ref="R9:AE9"/>
    <mergeCell ref="R10:S10"/>
    <mergeCell ref="A1:A3"/>
    <mergeCell ref="E8:I8"/>
    <mergeCell ref="C8:D8"/>
    <mergeCell ref="J8:M8"/>
    <mergeCell ref="I11:I15"/>
    <mergeCell ref="H11:H15"/>
    <mergeCell ref="G11:G15"/>
    <mergeCell ref="AJ11:AJ15"/>
    <mergeCell ref="AH11:AH15"/>
    <mergeCell ref="AI11:AI15"/>
    <mergeCell ref="M11:M15"/>
    <mergeCell ref="N8:AK8"/>
    <mergeCell ref="AL9:AL10"/>
    <mergeCell ref="AL8:AP8"/>
    <mergeCell ref="AM9:AP9"/>
    <mergeCell ref="X5:AB5"/>
    <mergeCell ref="AP11:AP15"/>
    <mergeCell ref="L11:L15"/>
    <mergeCell ref="K11:K15"/>
    <mergeCell ref="J9:J10"/>
    <mergeCell ref="A9:A10"/>
    <mergeCell ref="E9:E10"/>
    <mergeCell ref="C9:D9"/>
    <mergeCell ref="F9:F10"/>
    <mergeCell ref="G9:G10"/>
    <mergeCell ref="H9:H10"/>
    <mergeCell ref="AH9:AH10"/>
    <mergeCell ref="P9:P10"/>
    <mergeCell ref="I9:I10"/>
  </mergeCells>
  <conditionalFormatting sqref="M11">
    <cfRule type="expression" dxfId="129" priority="122">
      <formula>M11="EXTREMO"</formula>
    </cfRule>
    <cfRule type="expression" dxfId="128" priority="123">
      <formula>M11="MODERADO"</formula>
    </cfRule>
    <cfRule type="expression" dxfId="127" priority="124">
      <formula>M11="ALTO"</formula>
    </cfRule>
    <cfRule type="expression" dxfId="126" priority="125">
      <formula>M11="BAJO"</formula>
    </cfRule>
  </conditionalFormatting>
  <conditionalFormatting sqref="M11">
    <cfRule type="expression" dxfId="125" priority="121">
      <formula>M11=" "</formula>
    </cfRule>
  </conditionalFormatting>
  <conditionalFormatting sqref="AK11">
    <cfRule type="expression" dxfId="124" priority="102">
      <formula>AK11="EXTREMO"</formula>
    </cfRule>
    <cfRule type="expression" dxfId="123" priority="103">
      <formula>AK11="MODERADO"</formula>
    </cfRule>
    <cfRule type="expression" dxfId="122" priority="104">
      <formula>AK11="ALTO"</formula>
    </cfRule>
    <cfRule type="expression" dxfId="121" priority="105">
      <formula>AK11="BAJO"</formula>
    </cfRule>
  </conditionalFormatting>
  <conditionalFormatting sqref="AK11">
    <cfRule type="expression" dxfId="120" priority="101">
      <formula>AK11=" "</formula>
    </cfRule>
  </conditionalFormatting>
  <conditionalFormatting sqref="M16">
    <cfRule type="expression" dxfId="119" priority="97">
      <formula>M16="EXTREMO"</formula>
    </cfRule>
    <cfRule type="expression" dxfId="118" priority="98">
      <formula>M16="MODERADO"</formula>
    </cfRule>
    <cfRule type="expression" dxfId="117" priority="99">
      <formula>M16="ALTO"</formula>
    </cfRule>
    <cfRule type="expression" dxfId="116" priority="100">
      <formula>M16="BAJO"</formula>
    </cfRule>
  </conditionalFormatting>
  <conditionalFormatting sqref="M16">
    <cfRule type="expression" dxfId="115" priority="96">
      <formula>M16=" "</formula>
    </cfRule>
  </conditionalFormatting>
  <conditionalFormatting sqref="AK16">
    <cfRule type="expression" dxfId="114" priority="92">
      <formula>AK16="EXTREMO"</formula>
    </cfRule>
    <cfRule type="expression" dxfId="113" priority="93">
      <formula>AK16="MODERADO"</formula>
    </cfRule>
    <cfRule type="expression" dxfId="112" priority="94">
      <formula>AK16="ALTO"</formula>
    </cfRule>
    <cfRule type="expression" dxfId="111" priority="95">
      <formula>AK16="BAJO"</formula>
    </cfRule>
  </conditionalFormatting>
  <conditionalFormatting sqref="AK16">
    <cfRule type="expression" dxfId="110" priority="91">
      <formula>AK16=" "</formula>
    </cfRule>
  </conditionalFormatting>
  <conditionalFormatting sqref="M19">
    <cfRule type="expression" dxfId="109" priority="87">
      <formula>M19="EXTREMO"</formula>
    </cfRule>
    <cfRule type="expression" dxfId="108" priority="88">
      <formula>M19="MODERADO"</formula>
    </cfRule>
    <cfRule type="expression" dxfId="107" priority="89">
      <formula>M19="ALTO"</formula>
    </cfRule>
    <cfRule type="expression" dxfId="106" priority="90">
      <formula>M19="BAJO"</formula>
    </cfRule>
  </conditionalFormatting>
  <conditionalFormatting sqref="M19">
    <cfRule type="expression" dxfId="105" priority="86">
      <formula>M19=" "</formula>
    </cfRule>
  </conditionalFormatting>
  <conditionalFormatting sqref="AK19">
    <cfRule type="expression" dxfId="104" priority="82">
      <formula>AK19="EXTREMO"</formula>
    </cfRule>
    <cfRule type="expression" dxfId="103" priority="83">
      <formula>AK19="MODERADO"</formula>
    </cfRule>
    <cfRule type="expression" dxfId="102" priority="84">
      <formula>AK19="ALTO"</formula>
    </cfRule>
    <cfRule type="expression" dxfId="101" priority="85">
      <formula>AK19="BAJO"</formula>
    </cfRule>
  </conditionalFormatting>
  <conditionalFormatting sqref="AK19">
    <cfRule type="expression" dxfId="100" priority="81">
      <formula>AK19=" "</formula>
    </cfRule>
  </conditionalFormatting>
  <conditionalFormatting sqref="M20">
    <cfRule type="expression" dxfId="99" priority="77">
      <formula>M20="EXTREMO"</formula>
    </cfRule>
    <cfRule type="expression" dxfId="98" priority="78">
      <formula>M20="MODERADO"</formula>
    </cfRule>
    <cfRule type="expression" dxfId="97" priority="79">
      <formula>M20="ALTO"</formula>
    </cfRule>
    <cfRule type="expression" dxfId="96" priority="80">
      <formula>M20="BAJO"</formula>
    </cfRule>
  </conditionalFormatting>
  <conditionalFormatting sqref="M20">
    <cfRule type="expression" dxfId="95" priority="76">
      <formula>M20=" "</formula>
    </cfRule>
  </conditionalFormatting>
  <conditionalFormatting sqref="AK20">
    <cfRule type="expression" dxfId="94" priority="72">
      <formula>AK20="EXTREMO"</formula>
    </cfRule>
    <cfRule type="expression" dxfId="93" priority="73">
      <formula>AK20="MODERADO"</formula>
    </cfRule>
    <cfRule type="expression" dxfId="92" priority="74">
      <formula>AK20="ALTO"</formula>
    </cfRule>
    <cfRule type="expression" dxfId="91" priority="75">
      <formula>AK20="BAJO"</formula>
    </cfRule>
  </conditionalFormatting>
  <conditionalFormatting sqref="AK20">
    <cfRule type="expression" dxfId="90" priority="71">
      <formula>AK20=" "</formula>
    </cfRule>
  </conditionalFormatting>
  <conditionalFormatting sqref="M23">
    <cfRule type="expression" dxfId="69" priority="67">
      <formula>M23="EXTREMO"</formula>
    </cfRule>
    <cfRule type="expression" dxfId="68" priority="68">
      <formula>M23="MODERADO"</formula>
    </cfRule>
    <cfRule type="expression" dxfId="67" priority="69">
      <formula>M23="ALTO"</formula>
    </cfRule>
    <cfRule type="expression" dxfId="66" priority="70">
      <formula>M23="BAJO"</formula>
    </cfRule>
  </conditionalFormatting>
  <conditionalFormatting sqref="M23">
    <cfRule type="expression" dxfId="65" priority="66">
      <formula>M23=" "</formula>
    </cfRule>
  </conditionalFormatting>
  <conditionalFormatting sqref="AK23">
    <cfRule type="expression" dxfId="64" priority="62">
      <formula>AK23="EXTREMO"</formula>
    </cfRule>
    <cfRule type="expression" dxfId="63" priority="63">
      <formula>AK23="MODERADO"</formula>
    </cfRule>
    <cfRule type="expression" dxfId="62" priority="64">
      <formula>AK23="ALTO"</formula>
    </cfRule>
    <cfRule type="expression" dxfId="61" priority="65">
      <formula>AK23="BAJO"</formula>
    </cfRule>
  </conditionalFormatting>
  <conditionalFormatting sqref="AK23">
    <cfRule type="expression" dxfId="60" priority="61">
      <formula>AK23=" "</formula>
    </cfRule>
  </conditionalFormatting>
  <conditionalFormatting sqref="M25:M26">
    <cfRule type="expression" dxfId="59" priority="57">
      <formula>M25="EXTREMO"</formula>
    </cfRule>
    <cfRule type="expression" dxfId="58" priority="58">
      <formula>M25="MODERADO"</formula>
    </cfRule>
    <cfRule type="expression" dxfId="57" priority="59">
      <formula>M25="ALTO"</formula>
    </cfRule>
    <cfRule type="expression" dxfId="56" priority="60">
      <formula>M25="BAJO"</formula>
    </cfRule>
  </conditionalFormatting>
  <conditionalFormatting sqref="M25:M26">
    <cfRule type="expression" dxfId="55" priority="56">
      <formula>M25=" "</formula>
    </cfRule>
  </conditionalFormatting>
  <conditionalFormatting sqref="AK25:AK26">
    <cfRule type="expression" dxfId="54" priority="52">
      <formula>AK25="EXTREMO"</formula>
    </cfRule>
    <cfRule type="expression" dxfId="53" priority="53">
      <formula>AK25="MODERADO"</formula>
    </cfRule>
    <cfRule type="expression" dxfId="52" priority="54">
      <formula>AK25="ALTO"</formula>
    </cfRule>
    <cfRule type="expression" dxfId="51" priority="55">
      <formula>AK25="BAJO"</formula>
    </cfRule>
  </conditionalFormatting>
  <conditionalFormatting sqref="AK25:AK26">
    <cfRule type="expression" dxfId="50" priority="51">
      <formula>AK25=" "</formula>
    </cfRule>
  </conditionalFormatting>
  <conditionalFormatting sqref="M27">
    <cfRule type="expression" dxfId="49" priority="47">
      <formula>M27="EXTREMO"</formula>
    </cfRule>
    <cfRule type="expression" dxfId="48" priority="48">
      <formula>M27="MODERADO"</formula>
    </cfRule>
    <cfRule type="expression" dxfId="47" priority="49">
      <formula>M27="ALTO"</formula>
    </cfRule>
    <cfRule type="expression" dxfId="46" priority="50">
      <formula>M27="BAJO"</formula>
    </cfRule>
  </conditionalFormatting>
  <conditionalFormatting sqref="M27">
    <cfRule type="expression" dxfId="45" priority="46">
      <formula>M27=" "</formula>
    </cfRule>
  </conditionalFormatting>
  <conditionalFormatting sqref="AK27">
    <cfRule type="expression" dxfId="44" priority="42">
      <formula>AK27="EXTREMO"</formula>
    </cfRule>
    <cfRule type="expression" dxfId="43" priority="43">
      <formula>AK27="MODERADO"</formula>
    </cfRule>
    <cfRule type="expression" dxfId="42" priority="44">
      <formula>AK27="ALTO"</formula>
    </cfRule>
    <cfRule type="expression" dxfId="41" priority="45">
      <formula>AK27="BAJO"</formula>
    </cfRule>
  </conditionalFormatting>
  <conditionalFormatting sqref="AK27">
    <cfRule type="expression" dxfId="40" priority="41">
      <formula>AK27=" "</formula>
    </cfRule>
  </conditionalFormatting>
  <conditionalFormatting sqref="M32 M37">
    <cfRule type="expression" dxfId="39" priority="37">
      <formula>M32="EXTREMO"</formula>
    </cfRule>
    <cfRule type="expression" dxfId="38" priority="38">
      <formula>M32="MODERADO"</formula>
    </cfRule>
    <cfRule type="expression" dxfId="37" priority="39">
      <formula>M32="ALTO"</formula>
    </cfRule>
    <cfRule type="expression" dxfId="36" priority="40">
      <formula>M32="BAJO"</formula>
    </cfRule>
  </conditionalFormatting>
  <conditionalFormatting sqref="M32 M37">
    <cfRule type="expression" dxfId="35" priority="36">
      <formula>M32=" "</formula>
    </cfRule>
  </conditionalFormatting>
  <conditionalFormatting sqref="AK32 AK37">
    <cfRule type="expression" dxfId="34" priority="32">
      <formula>AK32="EXTREMO"</formula>
    </cfRule>
    <cfRule type="expression" dxfId="33" priority="33">
      <formula>AK32="MODERADO"</formula>
    </cfRule>
    <cfRule type="expression" dxfId="32" priority="34">
      <formula>AK32="ALTO"</formula>
    </cfRule>
    <cfRule type="expression" dxfId="31" priority="35">
      <formula>AK32="BAJO"</formula>
    </cfRule>
  </conditionalFormatting>
  <conditionalFormatting sqref="AK32 AK37">
    <cfRule type="expression" dxfId="30" priority="31">
      <formula>AK32=" "</formula>
    </cfRule>
  </conditionalFormatting>
  <conditionalFormatting sqref="M42:M45">
    <cfRule type="expression" dxfId="29" priority="27">
      <formula>M42="EXTREMO"</formula>
    </cfRule>
    <cfRule type="expression" dxfId="28" priority="28">
      <formula>M42="MODERADO"</formula>
    </cfRule>
    <cfRule type="expression" dxfId="27" priority="29">
      <formula>M42="ALTO"</formula>
    </cfRule>
    <cfRule type="expression" dxfId="26" priority="30">
      <formula>M42="BAJO"</formula>
    </cfRule>
  </conditionalFormatting>
  <conditionalFormatting sqref="M42:M45">
    <cfRule type="expression" dxfId="25" priority="26">
      <formula>M42=" "</formula>
    </cfRule>
  </conditionalFormatting>
  <conditionalFormatting sqref="AK42:AK45">
    <cfRule type="expression" dxfId="24" priority="22">
      <formula>AK42="EXTREMO"</formula>
    </cfRule>
    <cfRule type="expression" dxfId="23" priority="23">
      <formula>AK42="MODERADO"</formula>
    </cfRule>
    <cfRule type="expression" dxfId="22" priority="24">
      <formula>AK42="ALTO"</formula>
    </cfRule>
    <cfRule type="expression" dxfId="21" priority="25">
      <formula>AK42="BAJO"</formula>
    </cfRule>
  </conditionalFormatting>
  <conditionalFormatting sqref="AK42:AK45">
    <cfRule type="expression" dxfId="20" priority="21">
      <formula>AK42=" "</formula>
    </cfRule>
  </conditionalFormatting>
  <conditionalFormatting sqref="M46:M48">
    <cfRule type="expression" dxfId="19" priority="17">
      <formula>M46="EXTREMO"</formula>
    </cfRule>
    <cfRule type="expression" dxfId="18" priority="18">
      <formula>M46="MODERADO"</formula>
    </cfRule>
    <cfRule type="expression" dxfId="17" priority="19">
      <formula>M46="ALTO"</formula>
    </cfRule>
    <cfRule type="expression" dxfId="16" priority="20">
      <formula>M46="BAJO"</formula>
    </cfRule>
  </conditionalFormatting>
  <conditionalFormatting sqref="M46:M48">
    <cfRule type="expression" dxfId="15" priority="16">
      <formula>M46=" "</formula>
    </cfRule>
  </conditionalFormatting>
  <conditionalFormatting sqref="AK46:AK48">
    <cfRule type="expression" dxfId="14" priority="12">
      <formula>AK46="EXTREMO"</formula>
    </cfRule>
    <cfRule type="expression" dxfId="13" priority="13">
      <formula>AK46="MODERADO"</formula>
    </cfRule>
    <cfRule type="expression" dxfId="12" priority="14">
      <formula>AK46="ALTO"</formula>
    </cfRule>
    <cfRule type="expression" dxfId="11" priority="15">
      <formula>AK46="BAJO"</formula>
    </cfRule>
  </conditionalFormatting>
  <conditionalFormatting sqref="AK46:AK48">
    <cfRule type="expression" dxfId="10" priority="11">
      <formula>AK46=" "</formula>
    </cfRule>
  </conditionalFormatting>
  <conditionalFormatting sqref="M51">
    <cfRule type="expression" dxfId="9" priority="7">
      <formula>M51="EXTREMO"</formula>
    </cfRule>
    <cfRule type="expression" dxfId="8" priority="8">
      <formula>M51="MODERADO"</formula>
    </cfRule>
    <cfRule type="expression" dxfId="7" priority="9">
      <formula>M51="ALTO"</formula>
    </cfRule>
    <cfRule type="expression" dxfId="6" priority="10">
      <formula>M51="BAJO"</formula>
    </cfRule>
  </conditionalFormatting>
  <conditionalFormatting sqref="M51">
    <cfRule type="expression" dxfId="5" priority="6">
      <formula>M51=" "</formula>
    </cfRule>
  </conditionalFormatting>
  <conditionalFormatting sqref="AK51">
    <cfRule type="expression" dxfId="4" priority="2">
      <formula>AK51="EXTREMO"</formula>
    </cfRule>
    <cfRule type="expression" dxfId="3" priority="3">
      <formula>AK51="MODERADO"</formula>
    </cfRule>
    <cfRule type="expression" dxfId="2" priority="4">
      <formula>AK51="ALTO"</formula>
    </cfRule>
    <cfRule type="expression" dxfId="1" priority="5">
      <formula>AK51="BAJO"</formula>
    </cfRule>
  </conditionalFormatting>
  <conditionalFormatting sqref="AK51">
    <cfRule type="expression" dxfId="0" priority="1">
      <formula>AK51=" "</formula>
    </cfRule>
  </conditionalFormatting>
  <dataValidations count="3">
    <dataValidation allowBlank="1" showInputMessage="1" showErrorMessage="1" prompt="Se incluyó a partír de la Guía de riesgos borrador del DAFP" sqref="R10" xr:uid="{00000000-0002-0000-0000-000000000000}"/>
    <dataValidation allowBlank="1" showInputMessage="1" showErrorMessage="1" prompt="Estructura:_x000a__x000a_Responsable +_x000a_Periodicidad +_x000a_Proposito +_x000a_Cómo se realiza +_x000a_Qué pasa con las desviaciones +_x000a_Evidencia" sqref="N9:N10" xr:uid="{00000000-0002-0000-0000-000001000000}"/>
    <dataValidation allowBlank="1" showInputMessage="1" showErrorMessage="1" prompt="En la Guía del DAFP añaden campo de descripción del riesgo. Es la suma de Riesgo + Causas + Consecuencias: Complejiza el asunto" sqref="E8" xr:uid="{00000000-0002-0000-0000-000002000000}"/>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6000000}">
          <x14:formula1>
            <xm:f>Listas!$D$2:$D$11</xm:f>
          </x14:formula1>
          <xm:sqref>I11</xm:sqref>
        </x14:dataValidation>
        <x14:dataValidation type="list" allowBlank="1" showInputMessage="1" showErrorMessage="1" xr:uid="{00000000-0002-0000-0000-000007000000}">
          <x14:formula1>
            <xm:f>Listas!$A$21:$A$26</xm:f>
          </x14:formula1>
          <xm:sqref>D11</xm:sqref>
        </x14:dataValidation>
        <x14:dataValidation type="list" allowBlank="1" showInputMessage="1" showErrorMessage="1" xr:uid="{00000000-0002-0000-0000-000008000000}">
          <x14:formula1>
            <xm:f>Listas!$B$43:$B$45</xm:f>
          </x14:formula1>
          <xm:sqref>AD11</xm:sqref>
        </x14:dataValidation>
        <x14:dataValidation type="list" allowBlank="1" showInputMessage="1" showErrorMessage="1" xr:uid="{00000000-0002-0000-0000-000009000000}">
          <x14:formula1>
            <xm:f>Listas!$B$41:$B$42</xm:f>
          </x14:formula1>
          <xm:sqref>AB11</xm:sqref>
        </x14:dataValidation>
        <x14:dataValidation type="list" allowBlank="1" showInputMessage="1" showErrorMessage="1" xr:uid="{00000000-0002-0000-0000-00000A000000}">
          <x14:formula1>
            <xm:f>Listas!$B$39:$B$40</xm:f>
          </x14:formula1>
          <xm:sqref>Z11</xm:sqref>
        </x14:dataValidation>
        <x14:dataValidation type="list" allowBlank="1" showInputMessage="1" showErrorMessage="1" xr:uid="{00000000-0002-0000-0000-00000B000000}">
          <x14:formula1>
            <xm:f>Listas!$B$36:$B$38</xm:f>
          </x14:formula1>
          <xm:sqref>X11</xm:sqref>
        </x14:dataValidation>
        <x14:dataValidation type="list" allowBlank="1" showInputMessage="1" showErrorMessage="1" xr:uid="{00000000-0002-0000-0000-00000C000000}">
          <x14:formula1>
            <xm:f>Listas!$B$34:$B$35</xm:f>
          </x14:formula1>
          <xm:sqref>V11</xm:sqref>
        </x14:dataValidation>
        <x14:dataValidation type="list" allowBlank="1" showInputMessage="1" showErrorMessage="1" xr:uid="{00000000-0002-0000-0000-00000D000000}">
          <x14:formula1>
            <xm:f>Listas!$B$32:$B$33</xm:f>
          </x14:formula1>
          <xm:sqref>T11</xm:sqref>
        </x14:dataValidation>
        <x14:dataValidation type="list" allowBlank="1" showInputMessage="1" showErrorMessage="1" xr:uid="{00000000-0002-0000-0000-00000E000000}">
          <x14:formula1>
            <xm:f>Listas!$B$30:$B$31</xm:f>
          </x14:formula1>
          <xm:sqref>R11</xm:sqref>
        </x14:dataValidation>
        <x14:dataValidation type="list" allowBlank="1" showInputMessage="1" showErrorMessage="1" xr:uid="{00000000-0002-0000-0000-00000F000000}">
          <x14:formula1>
            <xm:f>Listas!$F$9:$F$10</xm:f>
          </x14:formula1>
          <xm:sqref>O11</xm:sqref>
        </x14:dataValidation>
        <x14:dataValidation type="list" allowBlank="1" showInputMessage="1" showErrorMessage="1" prompt="1 - Rara vez_x000a_2 - Improbable_x000a_3 - Posible_x000a_4 - Probable_x000a_5 - Casi Seguro" xr:uid="{00000000-0002-0000-0000-000010000000}">
          <x14:formula1>
            <xm:f>Listas!$F$2:$F$6</xm:f>
          </x14:formula1>
          <xm:sqref>J11:J15 AH11:AH15</xm:sqref>
        </x14:dataValidation>
        <x14:dataValidation type="list" allowBlank="1" showInputMessage="1" showErrorMessage="1" prompt="1 - Insignificante_x000a_2 - Menor_x000a_3 - Moderado_x000a_4 - Mayor_x000a_5 - Catastrófico" xr:uid="{00000000-0002-0000-0000-000011000000}">
          <x14:formula1>
            <xm:f>Listas!$G$2:$G$6</xm:f>
          </x14:formula1>
          <xm:sqref>K11:K15 AI11:AI15</xm:sqref>
        </x14:dataValidation>
        <x14:dataValidation type="list" allowBlank="1" showInputMessage="1" showErrorMessage="1" xr:uid="{00000000-0002-0000-0000-000012000000}">
          <x14:formula1>
            <xm:f>Listas!$B$46:$D$46</xm:f>
          </x14:formula1>
          <xm:sqref>P11:Q11</xm:sqref>
        </x14:dataValidation>
        <x14:dataValidation type="list" allowBlank="1" showInputMessage="1" showErrorMessage="1" xr:uid="{00000000-0002-0000-0000-000013000000}">
          <x14:formula1>
            <xm:f>Listas!$D$20:$D$24</xm:f>
          </x14:formula1>
          <xm:sqref>AL11:AL15</xm:sqref>
        </x14:dataValidation>
        <x14:dataValidation type="list" allowBlank="1" showInputMessage="1" showErrorMessage="1" xr:uid="{00000000-0002-0000-0000-000015000000}">
          <x14:formula1>
            <xm:f>Listas!$B$21:$B$26</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6"/>
  <sheetViews>
    <sheetView workbookViewId="0">
      <selection activeCell="C20" sqref="C20"/>
    </sheetView>
  </sheetViews>
  <sheetFormatPr baseColWidth="10" defaultRowHeight="14.4" x14ac:dyDescent="0.3"/>
  <cols>
    <col min="1" max="1" width="39.109375" style="17" customWidth="1"/>
    <col min="2" max="2" width="37.5546875" customWidth="1"/>
    <col min="3" max="3" width="20.88671875" customWidth="1"/>
    <col min="4" max="4" width="38.88671875" bestFit="1" customWidth="1"/>
    <col min="5" max="5" width="27.33203125" customWidth="1"/>
    <col min="6" max="7" width="16.44140625" customWidth="1"/>
    <col min="8" max="8" width="15" bestFit="1" customWidth="1"/>
    <col min="9" max="9" width="23.33203125" bestFit="1" customWidth="1"/>
    <col min="10" max="10" width="11" bestFit="1" customWidth="1"/>
    <col min="11" max="11" width="5.88671875" bestFit="1" customWidth="1"/>
    <col min="12" max="12" width="11.6640625" bestFit="1" customWidth="1"/>
    <col min="13" max="13" width="5.88671875" bestFit="1" customWidth="1"/>
    <col min="14" max="14" width="10.88671875" bestFit="1" customWidth="1"/>
    <col min="15" max="15" width="5.88671875" bestFit="1" customWidth="1"/>
    <col min="16" max="16" width="12.33203125" bestFit="1" customWidth="1"/>
    <col min="17" max="17" width="5.88671875" bestFit="1" customWidth="1"/>
    <col min="18" max="18" width="12.109375" bestFit="1" customWidth="1"/>
    <col min="19" max="19" width="5.88671875" bestFit="1" customWidth="1"/>
    <col min="20" max="20" width="24.109375" bestFit="1" customWidth="1"/>
  </cols>
  <sheetData>
    <row r="1" spans="1:20" x14ac:dyDescent="0.3">
      <c r="A1" s="25" t="s">
        <v>5</v>
      </c>
      <c r="D1" s="26" t="s">
        <v>16</v>
      </c>
      <c r="F1" s="26" t="s">
        <v>17</v>
      </c>
      <c r="G1" s="26" t="s">
        <v>18</v>
      </c>
      <c r="I1" s="26" t="s">
        <v>11</v>
      </c>
      <c r="J1" s="107" t="s">
        <v>19</v>
      </c>
      <c r="K1" s="108"/>
      <c r="L1" s="108"/>
      <c r="M1" s="108"/>
      <c r="N1" s="108"/>
      <c r="O1" s="108"/>
      <c r="P1" s="108"/>
      <c r="Q1" s="108"/>
      <c r="R1" s="108"/>
      <c r="S1" s="108"/>
      <c r="T1" s="1" t="s">
        <v>37</v>
      </c>
    </row>
    <row r="2" spans="1:20" x14ac:dyDescent="0.3">
      <c r="A2" s="24" t="s">
        <v>100</v>
      </c>
      <c r="D2" s="23" t="s">
        <v>113</v>
      </c>
      <c r="F2" s="18">
        <v>1</v>
      </c>
      <c r="G2" s="18">
        <v>1</v>
      </c>
      <c r="I2" s="18" t="s">
        <v>29</v>
      </c>
      <c r="J2" s="28" t="s">
        <v>20</v>
      </c>
      <c r="K2" s="1" t="s">
        <v>28</v>
      </c>
      <c r="L2" s="1" t="s">
        <v>21</v>
      </c>
      <c r="M2" s="1" t="s">
        <v>28</v>
      </c>
      <c r="N2" s="1" t="s">
        <v>25</v>
      </c>
      <c r="O2" s="1" t="s">
        <v>28</v>
      </c>
      <c r="P2" s="1" t="s">
        <v>26</v>
      </c>
      <c r="Q2" s="1" t="s">
        <v>28</v>
      </c>
      <c r="R2" s="1" t="s">
        <v>11</v>
      </c>
      <c r="S2" s="1" t="s">
        <v>28</v>
      </c>
      <c r="T2" s="19" t="s">
        <v>38</v>
      </c>
    </row>
    <row r="3" spans="1:20" x14ac:dyDescent="0.3">
      <c r="A3" s="24" t="s">
        <v>101</v>
      </c>
      <c r="D3" s="23" t="s">
        <v>3</v>
      </c>
      <c r="F3" s="18">
        <v>2</v>
      </c>
      <c r="G3" s="18">
        <v>2</v>
      </c>
      <c r="I3" s="18" t="s">
        <v>30</v>
      </c>
      <c r="J3" s="29" t="s">
        <v>1</v>
      </c>
      <c r="K3" s="4">
        <v>20</v>
      </c>
      <c r="L3" s="4" t="s">
        <v>22</v>
      </c>
      <c r="M3" s="4">
        <v>20</v>
      </c>
      <c r="N3" s="4" t="s">
        <v>1</v>
      </c>
      <c r="O3" s="4">
        <v>20</v>
      </c>
      <c r="P3" s="4" t="s">
        <v>1</v>
      </c>
      <c r="Q3" s="4">
        <v>20</v>
      </c>
      <c r="R3" s="4" t="s">
        <v>1</v>
      </c>
      <c r="S3" s="4">
        <v>20</v>
      </c>
      <c r="T3" s="20" t="s">
        <v>39</v>
      </c>
    </row>
    <row r="4" spans="1:20" ht="28.8" x14ac:dyDescent="0.3">
      <c r="A4" s="24" t="s">
        <v>102</v>
      </c>
      <c r="D4" s="23" t="s">
        <v>4</v>
      </c>
      <c r="F4" s="18">
        <v>3</v>
      </c>
      <c r="G4" s="18">
        <v>3</v>
      </c>
      <c r="I4" s="18" t="s">
        <v>31</v>
      </c>
      <c r="J4" s="29" t="s">
        <v>2</v>
      </c>
      <c r="K4" s="4">
        <v>0</v>
      </c>
      <c r="L4" s="4" t="s">
        <v>23</v>
      </c>
      <c r="M4" s="4">
        <v>10</v>
      </c>
      <c r="N4" s="4" t="s">
        <v>2</v>
      </c>
      <c r="O4" s="4">
        <v>0</v>
      </c>
      <c r="P4" s="4" t="s">
        <v>2</v>
      </c>
      <c r="Q4" s="4">
        <v>0</v>
      </c>
      <c r="R4" s="4" t="s">
        <v>2</v>
      </c>
      <c r="S4" s="4">
        <v>0</v>
      </c>
      <c r="T4" s="20" t="s">
        <v>40</v>
      </c>
    </row>
    <row r="5" spans="1:20" x14ac:dyDescent="0.3">
      <c r="A5" s="24" t="s">
        <v>103</v>
      </c>
      <c r="D5" s="23" t="s">
        <v>15</v>
      </c>
      <c r="F5" s="18">
        <v>4</v>
      </c>
      <c r="G5" s="18">
        <v>4</v>
      </c>
      <c r="I5" s="18" t="s">
        <v>32</v>
      </c>
      <c r="J5" s="29"/>
      <c r="K5" s="4"/>
      <c r="L5" s="4" t="s">
        <v>24</v>
      </c>
      <c r="M5" s="4">
        <v>0</v>
      </c>
      <c r="N5" s="4"/>
      <c r="O5" s="4"/>
      <c r="P5" s="4"/>
      <c r="Q5" s="4"/>
      <c r="R5" s="4"/>
      <c r="S5" s="4"/>
      <c r="T5" s="20" t="s">
        <v>41</v>
      </c>
    </row>
    <row r="6" spans="1:20" x14ac:dyDescent="0.3">
      <c r="A6" s="24" t="s">
        <v>120</v>
      </c>
      <c r="D6" s="23" t="s">
        <v>81</v>
      </c>
      <c r="F6" s="18">
        <v>5</v>
      </c>
      <c r="G6" s="18">
        <v>5</v>
      </c>
      <c r="I6" s="18" t="s">
        <v>33</v>
      </c>
    </row>
    <row r="7" spans="1:20" x14ac:dyDescent="0.3">
      <c r="A7" s="24" t="s">
        <v>121</v>
      </c>
      <c r="D7" s="23" t="s">
        <v>82</v>
      </c>
      <c r="I7" s="18" t="s">
        <v>34</v>
      </c>
    </row>
    <row r="8" spans="1:20" x14ac:dyDescent="0.3">
      <c r="A8" s="24" t="s">
        <v>104</v>
      </c>
      <c r="D8" s="23" t="s">
        <v>128</v>
      </c>
      <c r="F8" s="26" t="s">
        <v>8</v>
      </c>
      <c r="I8" s="18" t="s">
        <v>35</v>
      </c>
    </row>
    <row r="9" spans="1:20" x14ac:dyDescent="0.3">
      <c r="A9" s="24" t="s">
        <v>105</v>
      </c>
      <c r="D9" s="23" t="s">
        <v>131</v>
      </c>
      <c r="F9" s="18" t="s">
        <v>0</v>
      </c>
    </row>
    <row r="10" spans="1:20" x14ac:dyDescent="0.3">
      <c r="A10" s="24" t="s">
        <v>106</v>
      </c>
      <c r="D10" s="23" t="s">
        <v>83</v>
      </c>
      <c r="F10" s="18" t="s">
        <v>85</v>
      </c>
    </row>
    <row r="11" spans="1:20" x14ac:dyDescent="0.3">
      <c r="A11" s="24" t="s">
        <v>107</v>
      </c>
      <c r="D11" s="23" t="s">
        <v>84</v>
      </c>
    </row>
    <row r="12" spans="1:20" x14ac:dyDescent="0.3">
      <c r="A12" s="24" t="s">
        <v>108</v>
      </c>
    </row>
    <row r="13" spans="1:20" x14ac:dyDescent="0.3">
      <c r="A13" s="24" t="s">
        <v>109</v>
      </c>
    </row>
    <row r="14" spans="1:20" x14ac:dyDescent="0.3">
      <c r="A14" s="24" t="s">
        <v>110</v>
      </c>
    </row>
    <row r="15" spans="1:20" x14ac:dyDescent="0.3">
      <c r="A15" s="24" t="s">
        <v>114</v>
      </c>
    </row>
    <row r="16" spans="1:20" x14ac:dyDescent="0.3">
      <c r="A16" s="24" t="s">
        <v>115</v>
      </c>
    </row>
    <row r="19" spans="1:5" x14ac:dyDescent="0.3">
      <c r="A19" s="109" t="s">
        <v>44</v>
      </c>
      <c r="B19" s="109"/>
      <c r="D19" s="27" t="s">
        <v>93</v>
      </c>
    </row>
    <row r="20" spans="1:5" x14ac:dyDescent="0.3">
      <c r="A20" s="1" t="s">
        <v>45</v>
      </c>
      <c r="B20" s="1" t="s">
        <v>46</v>
      </c>
      <c r="C20" s="30"/>
      <c r="D20" s="18" t="s">
        <v>94</v>
      </c>
    </row>
    <row r="21" spans="1:5" x14ac:dyDescent="0.3">
      <c r="A21" s="2" t="s">
        <v>88</v>
      </c>
      <c r="B21" s="2" t="s">
        <v>92</v>
      </c>
      <c r="C21" s="31"/>
      <c r="D21" s="18" t="s">
        <v>95</v>
      </c>
    </row>
    <row r="22" spans="1:5" x14ac:dyDescent="0.3">
      <c r="A22" s="2" t="s">
        <v>89</v>
      </c>
      <c r="B22" s="2" t="s">
        <v>52</v>
      </c>
      <c r="C22" s="31"/>
      <c r="D22" s="18" t="s">
        <v>96</v>
      </c>
    </row>
    <row r="23" spans="1:5" x14ac:dyDescent="0.3">
      <c r="A23" s="2" t="s">
        <v>90</v>
      </c>
      <c r="B23" s="2" t="s">
        <v>50</v>
      </c>
      <c r="C23" s="31"/>
      <c r="D23" s="18" t="s">
        <v>133</v>
      </c>
    </row>
    <row r="24" spans="1:5" x14ac:dyDescent="0.3">
      <c r="A24" s="2" t="s">
        <v>15</v>
      </c>
      <c r="B24" s="3" t="s">
        <v>53</v>
      </c>
      <c r="C24" s="32"/>
      <c r="D24" s="18"/>
    </row>
    <row r="25" spans="1:5" x14ac:dyDescent="0.3">
      <c r="A25" s="2" t="s">
        <v>91</v>
      </c>
      <c r="B25" s="2" t="s">
        <v>51</v>
      </c>
      <c r="C25" s="31"/>
    </row>
    <row r="26" spans="1:5" x14ac:dyDescent="0.3">
      <c r="A26" s="2" t="s">
        <v>112</v>
      </c>
      <c r="B26" s="2" t="s">
        <v>54</v>
      </c>
      <c r="C26" s="31"/>
    </row>
    <row r="29" spans="1:5" ht="28.5" customHeight="1" x14ac:dyDescent="0.3">
      <c r="A29" s="110"/>
      <c r="B29" s="110"/>
      <c r="C29" s="110"/>
      <c r="D29" s="110"/>
      <c r="E29" s="110"/>
    </row>
    <row r="30" spans="1:5" ht="30" customHeight="1" x14ac:dyDescent="0.3">
      <c r="A30" s="54" t="s">
        <v>55</v>
      </c>
      <c r="B30" s="15" t="s">
        <v>111</v>
      </c>
      <c r="C30" s="14">
        <v>15</v>
      </c>
    </row>
    <row r="31" spans="1:5" x14ac:dyDescent="0.3">
      <c r="A31" s="55"/>
      <c r="B31" s="22" t="s">
        <v>62</v>
      </c>
      <c r="C31" s="21">
        <v>0</v>
      </c>
    </row>
    <row r="32" spans="1:5" ht="45" customHeight="1" x14ac:dyDescent="0.3">
      <c r="A32" s="54" t="s">
        <v>56</v>
      </c>
      <c r="B32" s="15" t="s">
        <v>63</v>
      </c>
      <c r="C32" s="14">
        <v>15</v>
      </c>
    </row>
    <row r="33" spans="1:4" x14ac:dyDescent="0.3">
      <c r="A33" s="55"/>
      <c r="B33" s="22" t="s">
        <v>64</v>
      </c>
      <c r="C33" s="21">
        <v>0</v>
      </c>
    </row>
    <row r="34" spans="1:4" ht="75" customHeight="1" x14ac:dyDescent="0.3">
      <c r="A34" s="54" t="s">
        <v>57</v>
      </c>
      <c r="B34" s="15" t="s">
        <v>65</v>
      </c>
      <c r="C34" s="14">
        <v>15</v>
      </c>
    </row>
    <row r="35" spans="1:4" x14ac:dyDescent="0.3">
      <c r="A35" s="55"/>
      <c r="B35" s="22" t="s">
        <v>66</v>
      </c>
      <c r="C35" s="21">
        <v>0</v>
      </c>
    </row>
    <row r="36" spans="1:4" ht="75" customHeight="1" x14ac:dyDescent="0.3">
      <c r="A36" s="54" t="s">
        <v>58</v>
      </c>
      <c r="B36" s="15" t="s">
        <v>73</v>
      </c>
      <c r="C36" s="15">
        <v>15</v>
      </c>
    </row>
    <row r="37" spans="1:4" x14ac:dyDescent="0.3">
      <c r="A37" s="111"/>
      <c r="B37" s="22" t="s">
        <v>74</v>
      </c>
      <c r="C37" s="22">
        <v>10</v>
      </c>
    </row>
    <row r="38" spans="1:4" x14ac:dyDescent="0.3">
      <c r="A38" s="55"/>
      <c r="B38" s="22" t="s">
        <v>67</v>
      </c>
      <c r="C38" s="22">
        <v>0</v>
      </c>
    </row>
    <row r="39" spans="1:4" ht="60" customHeight="1" x14ac:dyDescent="0.3">
      <c r="A39" s="54" t="s">
        <v>59</v>
      </c>
      <c r="B39" s="15" t="s">
        <v>68</v>
      </c>
      <c r="C39" s="14">
        <v>15</v>
      </c>
    </row>
    <row r="40" spans="1:4" x14ac:dyDescent="0.3">
      <c r="A40" s="55"/>
      <c r="B40" s="22" t="s">
        <v>69</v>
      </c>
      <c r="C40" s="21">
        <v>0</v>
      </c>
    </row>
    <row r="41" spans="1:4" ht="75" customHeight="1" x14ac:dyDescent="0.3">
      <c r="A41" s="54" t="s">
        <v>60</v>
      </c>
      <c r="B41" s="15" t="s">
        <v>70</v>
      </c>
      <c r="C41" s="14">
        <v>15</v>
      </c>
    </row>
    <row r="42" spans="1:4" ht="27.6" x14ac:dyDescent="0.3">
      <c r="A42" s="55"/>
      <c r="B42" s="22" t="s">
        <v>71</v>
      </c>
      <c r="C42" s="21">
        <v>0</v>
      </c>
    </row>
    <row r="43" spans="1:4" ht="60" customHeight="1" x14ac:dyDescent="0.3">
      <c r="A43" s="54" t="s">
        <v>61</v>
      </c>
      <c r="B43" s="15" t="s">
        <v>72</v>
      </c>
      <c r="C43" s="14">
        <v>10</v>
      </c>
    </row>
    <row r="44" spans="1:4" x14ac:dyDescent="0.3">
      <c r="A44" s="111"/>
      <c r="B44" s="22" t="s">
        <v>75</v>
      </c>
      <c r="C44" s="21">
        <v>5</v>
      </c>
    </row>
    <row r="45" spans="1:4" x14ac:dyDescent="0.3">
      <c r="A45" s="55"/>
      <c r="B45" s="22" t="s">
        <v>76</v>
      </c>
      <c r="C45" s="21">
        <v>0</v>
      </c>
    </row>
    <row r="46" spans="1:4" ht="27.6" x14ac:dyDescent="0.3">
      <c r="A46" s="16" t="s">
        <v>80</v>
      </c>
      <c r="B46" s="15" t="s">
        <v>117</v>
      </c>
      <c r="C46" s="15" t="s">
        <v>118</v>
      </c>
      <c r="D46" s="33" t="s">
        <v>119</v>
      </c>
    </row>
  </sheetData>
  <mergeCells count="10">
    <mergeCell ref="A43:A45"/>
    <mergeCell ref="A41:A42"/>
    <mergeCell ref="A39:A40"/>
    <mergeCell ref="A36:A38"/>
    <mergeCell ref="A34:A35"/>
    <mergeCell ref="J1:S1"/>
    <mergeCell ref="A19:B19"/>
    <mergeCell ref="A29:E29"/>
    <mergeCell ref="A32:A33"/>
    <mergeCell ref="A30:A31"/>
  </mergeCells>
  <dataValidations count="1">
    <dataValidation allowBlank="1" showInputMessage="1" showErrorMessage="1" prompt="Se incluyó a partír de la Guía de riesgos borrador del DAFP" sqref="A30" xr:uid="{00000000-0002-0000-04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3.xml><?xml version="1.0" encoding="utf-8"?>
<ds:datastoreItem xmlns:ds="http://schemas.openxmlformats.org/officeDocument/2006/customXml" ds:itemID="{FE8C3ECA-5554-47EC-BD71-EAF7C121366E}">
  <ds:schemaRefs>
    <ds:schemaRef ds:uri="http://schemas.microsoft.com/office/infopath/2007/PartnerControls"/>
    <ds:schemaRef ds:uri="http://purl.org/dc/dcmitype/"/>
    <ds:schemaRef ds:uri="http://purl.org/dc/terms/"/>
    <ds:schemaRef ds:uri="http://purl.org/dc/elements/1.1/"/>
    <ds:schemaRef ds:uri="b88267a5-0852-4714-9a11-4aa7c350c1c2"/>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2e1b66e6-84d5-4201-88fb-3f6ff4bcf6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de Riesgo_Corrupcion_Cons</vt:lpstr>
      <vt:lpstr>Listas</vt:lpstr>
      <vt:lpstr>'Mapa de Riesgo_Corrupcion_Cons'!Títulos_a_imprimir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Avila</cp:lastModifiedBy>
  <cp:lastPrinted>2016-05-10T19:22:49Z</cp:lastPrinted>
  <dcterms:created xsi:type="dcterms:W3CDTF">2014-03-06T13:40:48Z</dcterms:created>
  <dcterms:modified xsi:type="dcterms:W3CDTF">2021-12-22T20:46:59Z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